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2915" windowHeight="10800" activeTab="1"/>
  </bookViews>
  <sheets>
    <sheet name="PV Anlage Eingabe" sheetId="1" r:id="rId1"/>
    <sheet name="Wirtschaftlich 30 Jahre" sheetId="4" r:id="rId2"/>
    <sheet name="Steuerlich 30 Jahre" sheetId="5" r:id="rId3"/>
  </sheets>
  <definedNames>
    <definedName name="_xlnm.Print_Area" localSheetId="0">'PV Anlage Eingabe'!$A:$K</definedName>
    <definedName name="_xlnm.Print_Area" localSheetId="2">'Steuerlich 30 Jahre'!$A$1:$L$41</definedName>
    <definedName name="_xlnm.Print_Area" localSheetId="1">'Wirtschaftlich 30 Jahre'!$A$1:$L$41</definedName>
    <definedName name="_xlnm.Print_Titles" localSheetId="0">'PV Anlage Eingabe'!$7:$24</definedName>
    <definedName name="_xlnm.Print_Titles" localSheetId="2">'Steuerlich 30 Jahre'!$1:$8</definedName>
    <definedName name="_xlnm.Print_Titles" localSheetId="1">'Wirtschaftlich 30 Jahre'!$1:$7</definedName>
  </definedNames>
  <calcPr calcId="145621"/>
</workbook>
</file>

<file path=xl/calcChain.xml><?xml version="1.0" encoding="utf-8"?>
<calcChain xmlns="http://schemas.openxmlformats.org/spreadsheetml/2006/main">
  <c r="D7" i="4" l="1"/>
  <c r="D7" i="5" l="1"/>
  <c r="G6" i="5"/>
  <c r="D6" i="5"/>
  <c r="D4" i="5"/>
  <c r="K2" i="5"/>
  <c r="L1" i="5"/>
  <c r="D1" i="5"/>
  <c r="K2" i="4"/>
  <c r="G6" i="4"/>
  <c r="L1" i="4"/>
  <c r="D6" i="4"/>
  <c r="D4" i="4"/>
  <c r="A13" i="5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30" i="5"/>
  <c r="H31" i="5"/>
  <c r="H11" i="4"/>
  <c r="H12" i="5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2" i="4" l="1"/>
  <c r="H13" i="4" s="1"/>
  <c r="I12" i="1"/>
  <c r="H6" i="5" s="1"/>
  <c r="I11" i="1"/>
  <c r="H5" i="5" s="1"/>
  <c r="C8" i="1"/>
  <c r="D2" i="5" s="1"/>
  <c r="E22" i="1"/>
  <c r="G18" i="1"/>
  <c r="G15" i="1"/>
  <c r="H13" i="1"/>
  <c r="G7" i="5" s="1"/>
  <c r="G7" i="4" l="1"/>
  <c r="C11" i="1"/>
  <c r="D5" i="5" s="1"/>
  <c r="D2" i="4"/>
  <c r="C11" i="4"/>
  <c r="C12" i="5" s="1"/>
  <c r="C13" i="5" s="1"/>
  <c r="H6" i="4"/>
  <c r="I11" i="4"/>
  <c r="I12" i="5" s="1"/>
  <c r="M12" i="5" s="1"/>
  <c r="B11" i="4"/>
  <c r="B12" i="5" s="1"/>
  <c r="H5" i="4"/>
  <c r="H13" i="5"/>
  <c r="H14" i="4"/>
  <c r="H14" i="5"/>
  <c r="I12" i="4"/>
  <c r="I30" i="4"/>
  <c r="I31" i="5" s="1"/>
  <c r="M31" i="5" s="1"/>
  <c r="I31" i="4"/>
  <c r="I32" i="5" s="1"/>
  <c r="M32" i="5" s="1"/>
  <c r="I32" i="4"/>
  <c r="I33" i="5" s="1"/>
  <c r="M33" i="5" s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I13" i="1"/>
  <c r="H7" i="5" s="1"/>
  <c r="B12" i="4" l="1"/>
  <c r="B13" i="5" s="1"/>
  <c r="N12" i="5"/>
  <c r="F12" i="5" s="1"/>
  <c r="D11" i="4"/>
  <c r="E11" i="4" s="1"/>
  <c r="E12" i="5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D5" i="4"/>
  <c r="H7" i="4"/>
  <c r="D12" i="5"/>
  <c r="D13" i="5"/>
  <c r="C14" i="5"/>
  <c r="I13" i="4"/>
  <c r="I14" i="5" s="1"/>
  <c r="M14" i="5" s="1"/>
  <c r="I13" i="5"/>
  <c r="M13" i="5" s="1"/>
  <c r="N13" i="5" s="1"/>
  <c r="F13" i="5" s="1"/>
  <c r="H15" i="4"/>
  <c r="H15" i="5"/>
  <c r="I14" i="4"/>
  <c r="I15" i="5" s="1"/>
  <c r="B13" i="4"/>
  <c r="B14" i="5" s="1"/>
  <c r="I33" i="4"/>
  <c r="I34" i="5" s="1"/>
  <c r="M34" i="5" s="1"/>
  <c r="I35" i="4"/>
  <c r="I36" i="5" s="1"/>
  <c r="M36" i="5" s="1"/>
  <c r="G12" i="5" l="1"/>
  <c r="K12" i="5" s="1"/>
  <c r="L12" i="5" s="1"/>
  <c r="D12" i="4"/>
  <c r="E12" i="4" s="1"/>
  <c r="E13" i="5" s="1"/>
  <c r="G11" i="4"/>
  <c r="K11" i="4" s="1"/>
  <c r="L11" i="4" s="1"/>
  <c r="D14" i="5"/>
  <c r="M15" i="5"/>
  <c r="N14" i="5"/>
  <c r="F14" i="5" s="1"/>
  <c r="G13" i="5"/>
  <c r="K13" i="5" s="1"/>
  <c r="H16" i="4"/>
  <c r="H16" i="5"/>
  <c r="C15" i="5"/>
  <c r="I36" i="4"/>
  <c r="I37" i="5" s="1"/>
  <c r="M37" i="5" s="1"/>
  <c r="D13" i="4"/>
  <c r="E13" i="4" s="1"/>
  <c r="E14" i="5" s="1"/>
  <c r="B14" i="4"/>
  <c r="B15" i="5" s="1"/>
  <c r="I15" i="4"/>
  <c r="I16" i="5" s="1"/>
  <c r="I34" i="4"/>
  <c r="I35" i="5" s="1"/>
  <c r="M35" i="5" s="1"/>
  <c r="G12" i="4"/>
  <c r="K12" i="4" s="1"/>
  <c r="L12" i="4" s="1"/>
  <c r="L13" i="5" l="1"/>
  <c r="D15" i="5"/>
  <c r="G14" i="5"/>
  <c r="K14" i="5" s="1"/>
  <c r="L14" i="5" s="1"/>
  <c r="N15" i="5"/>
  <c r="F15" i="5" s="1"/>
  <c r="C16" i="5"/>
  <c r="M16" i="5"/>
  <c r="H17" i="4"/>
  <c r="H17" i="5"/>
  <c r="I16" i="4"/>
  <c r="I17" i="5" s="1"/>
  <c r="G13" i="4"/>
  <c r="K13" i="4" s="1"/>
  <c r="L13" i="4" s="1"/>
  <c r="I37" i="4"/>
  <c r="I38" i="5" s="1"/>
  <c r="M38" i="5" s="1"/>
  <c r="B15" i="4"/>
  <c r="B16" i="5" s="1"/>
  <c r="D14" i="4"/>
  <c r="E14" i="4" s="1"/>
  <c r="E15" i="5" s="1"/>
  <c r="D16" i="5" l="1"/>
  <c r="M17" i="5"/>
  <c r="G15" i="5"/>
  <c r="K15" i="5" s="1"/>
  <c r="L15" i="5" s="1"/>
  <c r="H18" i="4"/>
  <c r="H18" i="5"/>
  <c r="N16" i="5"/>
  <c r="F16" i="5" s="1"/>
  <c r="C17" i="5"/>
  <c r="D15" i="4"/>
  <c r="E15" i="4" s="1"/>
  <c r="E16" i="5" s="1"/>
  <c r="B16" i="4"/>
  <c r="B17" i="5" s="1"/>
  <c r="G14" i="4"/>
  <c r="K14" i="4" s="1"/>
  <c r="L14" i="4" s="1"/>
  <c r="I38" i="4"/>
  <c r="I39" i="5" s="1"/>
  <c r="M39" i="5" s="1"/>
  <c r="I17" i="4"/>
  <c r="I18" i="5" s="1"/>
  <c r="D17" i="5" l="1"/>
  <c r="C18" i="5"/>
  <c r="G16" i="5"/>
  <c r="K16" i="5" s="1"/>
  <c r="L16" i="5" s="1"/>
  <c r="N17" i="5"/>
  <c r="F17" i="5" s="1"/>
  <c r="M18" i="5"/>
  <c r="H19" i="4"/>
  <c r="H19" i="5"/>
  <c r="I18" i="4"/>
  <c r="I19" i="5" s="1"/>
  <c r="I39" i="4"/>
  <c r="I40" i="5" s="1"/>
  <c r="M40" i="5" s="1"/>
  <c r="I40" i="4"/>
  <c r="I41" i="5" s="1"/>
  <c r="M41" i="5" s="1"/>
  <c r="B17" i="4"/>
  <c r="B18" i="5" s="1"/>
  <c r="D16" i="4"/>
  <c r="E16" i="4" s="1"/>
  <c r="E17" i="5" s="1"/>
  <c r="G15" i="4"/>
  <c r="K15" i="4" s="1"/>
  <c r="L15" i="4" s="1"/>
  <c r="D18" i="5" l="1"/>
  <c r="M19" i="5"/>
  <c r="G17" i="5"/>
  <c r="K17" i="5" s="1"/>
  <c r="L17" i="5" s="1"/>
  <c r="H20" i="4"/>
  <c r="H20" i="5"/>
  <c r="N18" i="5"/>
  <c r="F18" i="5" s="1"/>
  <c r="C19" i="5"/>
  <c r="G16" i="4"/>
  <c r="K16" i="4" s="1"/>
  <c r="L16" i="4" s="1"/>
  <c r="I19" i="4"/>
  <c r="I20" i="5" s="1"/>
  <c r="D17" i="4"/>
  <c r="E17" i="4" s="1"/>
  <c r="E18" i="5" s="1"/>
  <c r="B18" i="4"/>
  <c r="B19" i="5" s="1"/>
  <c r="D19" i="5" s="1"/>
  <c r="G18" i="5" l="1"/>
  <c r="K18" i="5" s="1"/>
  <c r="C20" i="5"/>
  <c r="H21" i="4"/>
  <c r="H21" i="5"/>
  <c r="N19" i="5"/>
  <c r="F19" i="5" s="1"/>
  <c r="M20" i="5"/>
  <c r="L18" i="5"/>
  <c r="G17" i="4"/>
  <c r="K17" i="4" s="1"/>
  <c r="L17" i="4" s="1"/>
  <c r="I20" i="4"/>
  <c r="I21" i="5" s="1"/>
  <c r="B19" i="4"/>
  <c r="B20" i="5" s="1"/>
  <c r="D20" i="5" s="1"/>
  <c r="D18" i="4"/>
  <c r="E18" i="4" s="1"/>
  <c r="E19" i="5" s="1"/>
  <c r="G19" i="5" l="1"/>
  <c r="K19" i="5" s="1"/>
  <c r="L19" i="5" s="1"/>
  <c r="H22" i="4"/>
  <c r="H22" i="5"/>
  <c r="N20" i="5"/>
  <c r="F20" i="5" s="1"/>
  <c r="M21" i="5"/>
  <c r="C21" i="5"/>
  <c r="I21" i="4"/>
  <c r="I22" i="5" s="1"/>
  <c r="G18" i="4"/>
  <c r="K18" i="4" s="1"/>
  <c r="L18" i="4" s="1"/>
  <c r="D19" i="4"/>
  <c r="E19" i="4" s="1"/>
  <c r="E20" i="5" s="1"/>
  <c r="B20" i="4"/>
  <c r="B21" i="5" s="1"/>
  <c r="D21" i="5" s="1"/>
  <c r="G20" i="5" l="1"/>
  <c r="K20" i="5" s="1"/>
  <c r="L20" i="5" s="1"/>
  <c r="H23" i="4"/>
  <c r="H23" i="5"/>
  <c r="C22" i="5"/>
  <c r="N21" i="5"/>
  <c r="F21" i="5" s="1"/>
  <c r="M22" i="5"/>
  <c r="B21" i="4"/>
  <c r="B22" i="5" s="1"/>
  <c r="D20" i="4"/>
  <c r="E20" i="4" s="1"/>
  <c r="E21" i="5" s="1"/>
  <c r="G19" i="4"/>
  <c r="K19" i="4" s="1"/>
  <c r="L19" i="4" s="1"/>
  <c r="I22" i="4"/>
  <c r="I23" i="5" s="1"/>
  <c r="N22" i="5" l="1"/>
  <c r="F22" i="5" s="1"/>
  <c r="G21" i="5"/>
  <c r="K21" i="5" s="1"/>
  <c r="L21" i="5" s="1"/>
  <c r="D22" i="5"/>
  <c r="H24" i="4"/>
  <c r="H24" i="5"/>
  <c r="C23" i="5"/>
  <c r="M23" i="5"/>
  <c r="I23" i="4"/>
  <c r="I24" i="5" s="1"/>
  <c r="D21" i="4"/>
  <c r="E21" i="4" s="1"/>
  <c r="E22" i="5" s="1"/>
  <c r="B22" i="4"/>
  <c r="B23" i="5" s="1"/>
  <c r="D23" i="5" s="1"/>
  <c r="G20" i="4"/>
  <c r="K20" i="4" s="1"/>
  <c r="L20" i="4" s="1"/>
  <c r="G22" i="5" l="1"/>
  <c r="K22" i="5" s="1"/>
  <c r="L22" i="5" s="1"/>
  <c r="N23" i="5"/>
  <c r="F23" i="5" s="1"/>
  <c r="H25" i="4"/>
  <c r="H25" i="5"/>
  <c r="C24" i="5"/>
  <c r="M24" i="5"/>
  <c r="G21" i="4"/>
  <c r="K21" i="4" s="1"/>
  <c r="L21" i="4" s="1"/>
  <c r="I24" i="4"/>
  <c r="I25" i="5" s="1"/>
  <c r="B23" i="4"/>
  <c r="B24" i="5" s="1"/>
  <c r="D24" i="5" s="1"/>
  <c r="D22" i="4"/>
  <c r="E22" i="4" s="1"/>
  <c r="E23" i="5" s="1"/>
  <c r="G23" i="5" l="1"/>
  <c r="K23" i="5" s="1"/>
  <c r="L23" i="5" s="1"/>
  <c r="C25" i="5"/>
  <c r="M25" i="5"/>
  <c r="N24" i="5"/>
  <c r="F24" i="5" s="1"/>
  <c r="H26" i="4"/>
  <c r="H26" i="5"/>
  <c r="G22" i="4"/>
  <c r="K22" i="4" s="1"/>
  <c r="L22" i="4" s="1"/>
  <c r="D23" i="4"/>
  <c r="E23" i="4" s="1"/>
  <c r="E24" i="5" s="1"/>
  <c r="B24" i="4"/>
  <c r="B25" i="5" s="1"/>
  <c r="I25" i="4"/>
  <c r="I26" i="5" s="1"/>
  <c r="D25" i="5" l="1"/>
  <c r="G24" i="5"/>
  <c r="K24" i="5" s="1"/>
  <c r="L24" i="5" s="1"/>
  <c r="M26" i="5"/>
  <c r="C26" i="5"/>
  <c r="H27" i="4"/>
  <c r="H27" i="5"/>
  <c r="N25" i="5"/>
  <c r="F25" i="5" s="1"/>
  <c r="B25" i="4"/>
  <c r="B26" i="5" s="1"/>
  <c r="D26" i="5" s="1"/>
  <c r="D24" i="4"/>
  <c r="E24" i="4" s="1"/>
  <c r="E25" i="5" s="1"/>
  <c r="I26" i="4"/>
  <c r="I27" i="5" s="1"/>
  <c r="G23" i="4"/>
  <c r="K23" i="4" s="1"/>
  <c r="L23" i="4" s="1"/>
  <c r="G25" i="5" l="1"/>
  <c r="K25" i="5" s="1"/>
  <c r="L25" i="5" s="1"/>
  <c r="H28" i="4"/>
  <c r="H29" i="5" s="1"/>
  <c r="H28" i="5"/>
  <c r="M27" i="5"/>
  <c r="C27" i="5"/>
  <c r="N26" i="5"/>
  <c r="F26" i="5" s="1"/>
  <c r="G24" i="4"/>
  <c r="K24" i="4" s="1"/>
  <c r="L24" i="4" s="1"/>
  <c r="I27" i="4"/>
  <c r="I28" i="5" s="1"/>
  <c r="D25" i="4"/>
  <c r="E25" i="4" s="1"/>
  <c r="E26" i="5" s="1"/>
  <c r="B26" i="4"/>
  <c r="B27" i="5" s="1"/>
  <c r="D27" i="5" l="1"/>
  <c r="G26" i="5"/>
  <c r="K26" i="5" s="1"/>
  <c r="L26" i="5" s="1"/>
  <c r="C28" i="5"/>
  <c r="N27" i="5"/>
  <c r="F27" i="5" s="1"/>
  <c r="M28" i="5"/>
  <c r="G25" i="4"/>
  <c r="K25" i="4" s="1"/>
  <c r="I28" i="4"/>
  <c r="I29" i="5" s="1"/>
  <c r="M29" i="5" s="1"/>
  <c r="D26" i="4"/>
  <c r="E26" i="4" s="1"/>
  <c r="E27" i="5" s="1"/>
  <c r="B27" i="4"/>
  <c r="B28" i="5" s="1"/>
  <c r="L25" i="4"/>
  <c r="D28" i="5" l="1"/>
  <c r="G27" i="5"/>
  <c r="K27" i="5" s="1"/>
  <c r="L27" i="5" s="1"/>
  <c r="C29" i="5"/>
  <c r="N28" i="5"/>
  <c r="F28" i="5" s="1"/>
  <c r="G26" i="4"/>
  <c r="K26" i="4" s="1"/>
  <c r="L26" i="4" s="1"/>
  <c r="I29" i="4"/>
  <c r="I30" i="5" s="1"/>
  <c r="M30" i="5" s="1"/>
  <c r="D27" i="4"/>
  <c r="E27" i="4" s="1"/>
  <c r="E28" i="5" s="1"/>
  <c r="B28" i="4"/>
  <c r="B29" i="5" s="1"/>
  <c r="D29" i="5" l="1"/>
  <c r="G28" i="5"/>
  <c r="K28" i="5" s="1"/>
  <c r="L28" i="5" s="1"/>
  <c r="C30" i="5"/>
  <c r="N29" i="5"/>
  <c r="F29" i="5" s="1"/>
  <c r="G27" i="4"/>
  <c r="K27" i="4" s="1"/>
  <c r="L27" i="4" s="1"/>
  <c r="B29" i="4"/>
  <c r="B30" i="5" s="1"/>
  <c r="D28" i="4"/>
  <c r="E28" i="4" s="1"/>
  <c r="E29" i="5" s="1"/>
  <c r="D30" i="5" l="1"/>
  <c r="G29" i="5"/>
  <c r="K29" i="5" s="1"/>
  <c r="L29" i="5" s="1"/>
  <c r="N30" i="5"/>
  <c r="F30" i="5" s="1"/>
  <c r="C31" i="5"/>
  <c r="G28" i="4"/>
  <c r="K28" i="4" s="1"/>
  <c r="L28" i="4" s="1"/>
  <c r="D29" i="4"/>
  <c r="E29" i="4" s="1"/>
  <c r="E30" i="5" s="1"/>
  <c r="B30" i="4"/>
  <c r="B31" i="5" s="1"/>
  <c r="G30" i="5" l="1"/>
  <c r="K30" i="5" s="1"/>
  <c r="L30" i="5" s="1"/>
  <c r="D31" i="5"/>
  <c r="B32" i="5"/>
  <c r="N31" i="5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C32" i="5"/>
  <c r="C33" i="5" s="1"/>
  <c r="C34" i="5" s="1"/>
  <c r="C35" i="5" s="1"/>
  <c r="C36" i="5" s="1"/>
  <c r="C37" i="5" s="1"/>
  <c r="C38" i="5" s="1"/>
  <c r="C39" i="5" s="1"/>
  <c r="C40" i="5" s="1"/>
  <c r="C41" i="5" s="1"/>
  <c r="G29" i="4"/>
  <c r="K29" i="4" s="1"/>
  <c r="L29" i="4" s="1"/>
  <c r="D30" i="4"/>
  <c r="E30" i="4" s="1"/>
  <c r="E31" i="5" s="1"/>
  <c r="B31" i="4"/>
  <c r="G31" i="5" l="1"/>
  <c r="K31" i="5" s="1"/>
  <c r="L31" i="5" s="1"/>
  <c r="D32" i="5"/>
  <c r="B33" i="5"/>
  <c r="N32" i="5"/>
  <c r="G30" i="4"/>
  <c r="K30" i="4" s="1"/>
  <c r="L30" i="4" s="1"/>
  <c r="D31" i="4"/>
  <c r="E31" i="4" s="1"/>
  <c r="E32" i="5" s="1"/>
  <c r="G32" i="5" s="1"/>
  <c r="K32" i="5" s="1"/>
  <c r="B32" i="4"/>
  <c r="L32" i="5" l="1"/>
  <c r="D33" i="5"/>
  <c r="B34" i="5"/>
  <c r="N33" i="5"/>
  <c r="G31" i="4"/>
  <c r="K31" i="4" s="1"/>
  <c r="L31" i="4" s="1"/>
  <c r="D32" i="4"/>
  <c r="E32" i="4" s="1"/>
  <c r="E33" i="5" s="1"/>
  <c r="G33" i="5" s="1"/>
  <c r="K33" i="5" s="1"/>
  <c r="B33" i="4"/>
  <c r="L33" i="5" l="1"/>
  <c r="D34" i="5"/>
  <c r="B35" i="5"/>
  <c r="N34" i="5"/>
  <c r="D33" i="4"/>
  <c r="E33" i="4" s="1"/>
  <c r="E34" i="5" s="1"/>
  <c r="G34" i="5" s="1"/>
  <c r="K34" i="5" s="1"/>
  <c r="L34" i="5" s="1"/>
  <c r="B34" i="4"/>
  <c r="G32" i="4"/>
  <c r="K32" i="4" s="1"/>
  <c r="L32" i="4" s="1"/>
  <c r="D35" i="5" l="1"/>
  <c r="B36" i="5"/>
  <c r="N35" i="5"/>
  <c r="G33" i="4"/>
  <c r="K33" i="4" s="1"/>
  <c r="L33" i="4" s="1"/>
  <c r="D34" i="4"/>
  <c r="E34" i="4" s="1"/>
  <c r="E35" i="5" s="1"/>
  <c r="G35" i="5" s="1"/>
  <c r="K35" i="5" s="1"/>
  <c r="L35" i="5" s="1"/>
  <c r="B35" i="4"/>
  <c r="D36" i="5" l="1"/>
  <c r="B37" i="5"/>
  <c r="N36" i="5"/>
  <c r="G34" i="4"/>
  <c r="K34" i="4" s="1"/>
  <c r="L34" i="4" s="1"/>
  <c r="D35" i="4"/>
  <c r="E35" i="4" s="1"/>
  <c r="E36" i="5" s="1"/>
  <c r="G36" i="5" s="1"/>
  <c r="K36" i="5" s="1"/>
  <c r="L36" i="5" s="1"/>
  <c r="B36" i="4"/>
  <c r="D37" i="5" l="1"/>
  <c r="B38" i="5"/>
  <c r="N37" i="5"/>
  <c r="D36" i="4"/>
  <c r="E36" i="4" s="1"/>
  <c r="E37" i="5" s="1"/>
  <c r="G37" i="5" s="1"/>
  <c r="K37" i="5" s="1"/>
  <c r="L37" i="5" s="1"/>
  <c r="B37" i="4"/>
  <c r="G35" i="4"/>
  <c r="K35" i="4" s="1"/>
  <c r="L35" i="4" s="1"/>
  <c r="D38" i="5" l="1"/>
  <c r="B39" i="5"/>
  <c r="N38" i="5"/>
  <c r="D37" i="4"/>
  <c r="E37" i="4" s="1"/>
  <c r="E38" i="5" s="1"/>
  <c r="G38" i="5" s="1"/>
  <c r="K38" i="5" s="1"/>
  <c r="L38" i="5" s="1"/>
  <c r="B38" i="4"/>
  <c r="G36" i="4"/>
  <c r="K36" i="4" s="1"/>
  <c r="L36" i="4" s="1"/>
  <c r="D39" i="5" l="1"/>
  <c r="B40" i="5"/>
  <c r="N39" i="5"/>
  <c r="D38" i="4"/>
  <c r="E38" i="4" s="1"/>
  <c r="E39" i="5" s="1"/>
  <c r="G39" i="5" s="1"/>
  <c r="K39" i="5" s="1"/>
  <c r="L39" i="5" s="1"/>
  <c r="B39" i="4"/>
  <c r="G37" i="4"/>
  <c r="K37" i="4" s="1"/>
  <c r="L37" i="4" s="1"/>
  <c r="D40" i="5" l="1"/>
  <c r="B41" i="5"/>
  <c r="N40" i="5"/>
  <c r="D39" i="4"/>
  <c r="E39" i="4" s="1"/>
  <c r="E40" i="5" s="1"/>
  <c r="G40" i="5" s="1"/>
  <c r="K40" i="5" s="1"/>
  <c r="L40" i="5" s="1"/>
  <c r="B40" i="4"/>
  <c r="D40" i="4" s="1"/>
  <c r="E40" i="4" s="1"/>
  <c r="E41" i="5" s="1"/>
  <c r="G41" i="5" s="1"/>
  <c r="K41" i="5" s="1"/>
  <c r="G38" i="4"/>
  <c r="K38" i="4" s="1"/>
  <c r="L38" i="4" s="1"/>
  <c r="L41" i="5" l="1"/>
  <c r="D41" i="5"/>
  <c r="N41" i="5"/>
  <c r="G39" i="4"/>
  <c r="K39" i="4" s="1"/>
  <c r="L39" i="4" s="1"/>
  <c r="G40" i="4"/>
  <c r="K40" i="4" s="1"/>
  <c r="L40" i="4" l="1"/>
</calcChain>
</file>

<file path=xl/sharedStrings.xml><?xml version="1.0" encoding="utf-8"?>
<sst xmlns="http://schemas.openxmlformats.org/spreadsheetml/2006/main" count="94" uniqueCount="55">
  <si>
    <t>Strombedarf Jahr kwh</t>
  </si>
  <si>
    <t>Bedarf x 1,3 = empfohlene Anlage</t>
  </si>
  <si>
    <t>Faktor aufgrund Lage der Anlage</t>
  </si>
  <si>
    <t>Mindestleistung der Anlage</t>
  </si>
  <si>
    <t>Anlageleistung gemäß Angebot</t>
  </si>
  <si>
    <t>Miete pro Monat brutto</t>
  </si>
  <si>
    <t xml:space="preserve">Erzeugte Strommenge </t>
  </si>
  <si>
    <t>Eigenverbrauch</t>
  </si>
  <si>
    <t>Verkauf/Einspeisung</t>
  </si>
  <si>
    <t>netto</t>
  </si>
  <si>
    <t>brutto</t>
  </si>
  <si>
    <t>Einkaufspreis Strom pro KW/h aktuell</t>
  </si>
  <si>
    <t>fest für 20 Jahre</t>
  </si>
  <si>
    <t>Nachlassen der Leistung der Anlage je Jahr?</t>
  </si>
  <si>
    <t>selbst</t>
  </si>
  <si>
    <t>Verkauf</t>
  </si>
  <si>
    <t>Verkauserlös brutto</t>
  </si>
  <si>
    <t>Ersparter Strompreis</t>
  </si>
  <si>
    <t>gesamt</t>
  </si>
  <si>
    <t>Mieten</t>
  </si>
  <si>
    <t>andere Kosten</t>
  </si>
  <si>
    <t>Sonstige Kosten</t>
  </si>
  <si>
    <t xml:space="preserve">Steuerberatungskosten </t>
  </si>
  <si>
    <t>1. Jahr</t>
  </si>
  <si>
    <t>Folgejahre</t>
  </si>
  <si>
    <t>Erfassung FA, ..</t>
  </si>
  <si>
    <t>Verkaufspreis gem. Anschlussdatum je kw/h 20 X</t>
  </si>
  <si>
    <t>danach</t>
  </si>
  <si>
    <t>geschätzt</t>
  </si>
  <si>
    <t>wirts. Ergebnis</t>
  </si>
  <si>
    <t>Entnahmewert Strom</t>
  </si>
  <si>
    <t xml:space="preserve">Versicherung </t>
  </si>
  <si>
    <t>ab 19. Jahr</t>
  </si>
  <si>
    <t>(Eigenverbrauch, Ansatz mit Selbstkosten)</t>
  </si>
  <si>
    <t>(Eigenverbrauch, Ansatz mit fiktivem Bezugspreis)</t>
  </si>
  <si>
    <t>Erzeugte Strommenge der Anlage Jahr</t>
  </si>
  <si>
    <t>Wirtschaftliches Ergebnis</t>
  </si>
  <si>
    <t>Steuerliches Ergebnis</t>
  </si>
  <si>
    <t>Anlagebetreiber:</t>
  </si>
  <si>
    <t>Berechnungen zur Anlage vom</t>
  </si>
  <si>
    <t>(brutto)</t>
  </si>
  <si>
    <r>
      <t xml:space="preserve">Jahr </t>
    </r>
    <r>
      <rPr>
        <sz val="8"/>
        <color theme="1"/>
        <rFont val="Gisha"/>
        <family val="2"/>
      </rPr>
      <t>(immer mit 12 Monaten)</t>
    </r>
  </si>
  <si>
    <t>Steuererklärung für Vorjahr Vorjahr</t>
  </si>
  <si>
    <t>Preissteigerung pro Jahr ?</t>
  </si>
  <si>
    <t>kummuliert</t>
  </si>
  <si>
    <t>neuer Wechselrichter im 21. Jahr</t>
  </si>
  <si>
    <t xml:space="preserve">Wartung und Pflege </t>
  </si>
  <si>
    <t>alle 5 Jahre</t>
  </si>
  <si>
    <t>Gewnn / Verlust(-)</t>
  </si>
  <si>
    <t>Grunddaten der Anlage, Annahmen zur zukünftigen Entwicklung</t>
  </si>
  <si>
    <t>18 Jahre lang, Kauf im 19. Jahr € 1,00</t>
  </si>
  <si>
    <t>neuer Wechselrichter</t>
  </si>
  <si>
    <t>Reinigung</t>
  </si>
  <si>
    <t>Kauf Anlage &amp; Reinigung</t>
  </si>
  <si>
    <t>Holzhaus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</si>
</sst>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000"/>
  </numFmts>
  <fonts count="13">
    <font>
      <sz val="11"/>
      <color theme="1"/>
      <name val="Gisha"/>
      <family val="2"/>
    </font>
    <font>
      <sz val="11"/>
      <color rgb="FFFF0000"/>
      <name val="Gisha"/>
      <family val="2"/>
    </font>
    <font>
      <b/>
      <sz val="11"/>
      <color theme="1"/>
      <name val="Gisha"/>
      <family val="2"/>
    </font>
    <font>
      <b/>
      <sz val="8"/>
      <color theme="1"/>
      <name val="Gisha"/>
      <family val="2"/>
    </font>
    <font>
      <b/>
      <sz val="11"/>
      <color rgb="FFFF0000"/>
      <name val="Gisha"/>
      <family val="2"/>
    </font>
    <font>
      <sz val="8"/>
      <color theme="1"/>
      <name val="Gisha"/>
      <family val="2"/>
    </font>
    <font>
      <sz val="10"/>
      <color theme="1"/>
      <name val="Gisha"/>
      <family val="2"/>
    </font>
    <font>
      <sz val="8"/>
      <name val="Gisha"/>
      <family val="2"/>
    </font>
    <font>
      <sz val="7"/>
      <color theme="1"/>
      <name val="Gisha"/>
      <family val="2"/>
    </font>
    <font>
      <sz val="10"/>
      <color rgb="FFFF0000"/>
      <name val="Gisha"/>
      <family val="2"/>
    </font>
    <font>
      <sz val="7"/>
      <color rgb="FFFF0000"/>
      <name val="Gisha"/>
      <family val="2"/>
    </font>
    <font>
      <sz val="8"/>
      <color rgb="FFFF0000"/>
      <name val="Gisha"/>
      <family val="2"/>
    </font>
    <font>
      <b/>
      <sz val="8"/>
      <color rgb="FFFF0000"/>
      <name val="Gish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left"/>
    </xf>
    <xf numFmtId="10" fontId="1" fillId="0" borderId="0" xfId="0" applyNumberFormat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10" fontId="4" fillId="0" borderId="0" xfId="0" applyNumberFormat="1" applyFont="1"/>
    <xf numFmtId="10" fontId="4" fillId="0" borderId="1" xfId="0" applyNumberFormat="1" applyFont="1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164" fontId="4" fillId="0" borderId="1" xfId="0" applyNumberFormat="1" applyFont="1" applyBorder="1"/>
    <xf numFmtId="164" fontId="4" fillId="0" borderId="0" xfId="0" applyNumberFormat="1" applyFont="1" applyBorder="1"/>
    <xf numFmtId="164" fontId="0" fillId="0" borderId="0" xfId="0" applyNumberFormat="1" applyAlignment="1">
      <alignment horizontal="left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 applyBorder="1"/>
    <xf numFmtId="165" fontId="0" fillId="0" borderId="0" xfId="0" applyNumberFormat="1"/>
    <xf numFmtId="165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5" fontId="6" fillId="0" borderId="0" xfId="0" applyNumberFormat="1" applyFont="1"/>
    <xf numFmtId="0" fontId="7" fillId="0" borderId="0" xfId="0" applyFont="1"/>
    <xf numFmtId="0" fontId="7" fillId="0" borderId="1" xfId="0" applyFont="1" applyBorder="1"/>
    <xf numFmtId="165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1" xfId="0" applyNumberFormat="1" applyFont="1" applyBorder="1"/>
    <xf numFmtId="10" fontId="7" fillId="0" borderId="0" xfId="0" applyNumberFormat="1" applyFont="1"/>
    <xf numFmtId="164" fontId="7" fillId="0" borderId="1" xfId="0" applyNumberFormat="1" applyFont="1" applyBorder="1"/>
    <xf numFmtId="0" fontId="0" fillId="0" borderId="0" xfId="0" applyBorder="1"/>
    <xf numFmtId="0" fontId="4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8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left" vertical="center" wrapText="1"/>
    </xf>
    <xf numFmtId="164" fontId="3" fillId="0" borderId="0" xfId="0" applyNumberFormat="1" applyFont="1"/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wrapText="1"/>
    </xf>
    <xf numFmtId="164" fontId="11" fillId="0" borderId="0" xfId="0" applyNumberFormat="1" applyFont="1"/>
    <xf numFmtId="164" fontId="9" fillId="0" borderId="0" xfId="0" applyNumberFormat="1" applyFont="1" applyBorder="1"/>
    <xf numFmtId="164" fontId="12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1" fillId="0" borderId="0" xfId="0" applyFont="1" applyAlignment="1">
      <alignment horizontal="right" vertical="top"/>
    </xf>
    <xf numFmtId="0" fontId="11" fillId="0" borderId="0" xfId="0" applyFont="1"/>
    <xf numFmtId="14" fontId="7" fillId="0" borderId="2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I28" sqref="I28"/>
    </sheetView>
  </sheetViews>
  <sheetFormatPr baseColWidth="10" defaultRowHeight="14.25"/>
  <cols>
    <col min="1" max="1" width="20" customWidth="1"/>
    <col min="10" max="10" width="11.25" bestFit="1" customWidth="1"/>
    <col min="11" max="11" width="11" style="12"/>
  </cols>
  <sheetData>
    <row r="1" spans="1:10" ht="15">
      <c r="A1" t="s">
        <v>38</v>
      </c>
      <c r="C1" s="36" t="s">
        <v>54</v>
      </c>
      <c r="D1" s="26"/>
      <c r="E1" s="26"/>
      <c r="J1" s="35"/>
    </row>
    <row r="2" spans="1:10" ht="11.25" customHeight="1"/>
    <row r="3" spans="1:10">
      <c r="A3" s="37" t="s">
        <v>39</v>
      </c>
      <c r="C3" s="38">
        <v>43534</v>
      </c>
      <c r="D3" s="39"/>
    </row>
    <row r="4" spans="1:10" ht="11.25" customHeight="1">
      <c r="A4" s="37"/>
    </row>
    <row r="5" spans="1:10" ht="15">
      <c r="A5" s="5" t="s">
        <v>49</v>
      </c>
    </row>
    <row r="6" spans="1:10" ht="11.25" customHeight="1"/>
    <row r="7" spans="1:10" ht="23.25" customHeight="1">
      <c r="A7" t="s">
        <v>0</v>
      </c>
      <c r="C7" s="8">
        <v>4500</v>
      </c>
    </row>
    <row r="8" spans="1:10" ht="23.25" customHeight="1">
      <c r="A8" t="s">
        <v>1</v>
      </c>
      <c r="C8" s="24">
        <f>C7*1.3/1000</f>
        <v>5.85</v>
      </c>
    </row>
    <row r="9" spans="1:10" ht="11.25" customHeight="1"/>
    <row r="10" spans="1:10" ht="23.25" customHeight="1">
      <c r="A10" t="s">
        <v>2</v>
      </c>
      <c r="C10" s="8">
        <v>1</v>
      </c>
    </row>
    <row r="11" spans="1:10" ht="23.25" customHeight="1">
      <c r="A11" t="s">
        <v>3</v>
      </c>
      <c r="C11" s="24">
        <f>C8*C10</f>
        <v>5.85</v>
      </c>
      <c r="H11" s="11" t="s">
        <v>35</v>
      </c>
      <c r="I11">
        <f>ROUNDDOWN(C12*1000/C10,0)</f>
        <v>5500</v>
      </c>
    </row>
    <row r="12" spans="1:10" ht="23.25" customHeight="1">
      <c r="A12" t="s">
        <v>4</v>
      </c>
      <c r="C12" s="25">
        <v>5.5</v>
      </c>
      <c r="H12" s="9">
        <v>0.3</v>
      </c>
      <c r="I12">
        <f>C7*H12</f>
        <v>1350</v>
      </c>
      <c r="J12" t="s">
        <v>7</v>
      </c>
    </row>
    <row r="13" spans="1:10" ht="23.25" customHeight="1">
      <c r="A13" t="s">
        <v>5</v>
      </c>
      <c r="C13" s="16">
        <v>75.900000000000006</v>
      </c>
      <c r="D13" t="s">
        <v>50</v>
      </c>
      <c r="H13" s="2">
        <f>1-H12</f>
        <v>0.7</v>
      </c>
      <c r="I13">
        <f>I11-I12</f>
        <v>4150</v>
      </c>
      <c r="J13" t="s">
        <v>8</v>
      </c>
    </row>
    <row r="14" spans="1:10" ht="11.25" customHeight="1"/>
    <row r="15" spans="1:10" ht="23.25" customHeight="1">
      <c r="A15" t="s">
        <v>26</v>
      </c>
      <c r="D15" s="21" t="s">
        <v>9</v>
      </c>
      <c r="E15" s="16">
        <v>0.1</v>
      </c>
      <c r="F15" s="20" t="s">
        <v>10</v>
      </c>
      <c r="G15" s="18">
        <f>ROUND(E15*1.19,2)</f>
        <v>0.12</v>
      </c>
      <c r="H15" t="s">
        <v>12</v>
      </c>
    </row>
    <row r="16" spans="1:10" ht="23.25" customHeight="1">
      <c r="C16" t="s">
        <v>27</v>
      </c>
      <c r="D16" s="21" t="s">
        <v>28</v>
      </c>
      <c r="E16" s="17">
        <v>0.04</v>
      </c>
      <c r="F16" s="20"/>
      <c r="G16" s="3"/>
    </row>
    <row r="17" spans="1:10" ht="11.25" customHeight="1">
      <c r="D17" s="21"/>
      <c r="E17" s="1"/>
      <c r="F17" s="20"/>
      <c r="G17" s="1"/>
    </row>
    <row r="18" spans="1:10" ht="23.25" customHeight="1">
      <c r="A18" t="s">
        <v>11</v>
      </c>
      <c r="D18" s="21" t="s">
        <v>9</v>
      </c>
      <c r="E18" s="16">
        <v>0.25</v>
      </c>
      <c r="F18" s="20" t="s">
        <v>10</v>
      </c>
      <c r="G18" s="18">
        <f>ROUND(E18*1.19,2)</f>
        <v>0.3</v>
      </c>
      <c r="H18" t="s">
        <v>43</v>
      </c>
      <c r="J18" s="10">
        <v>0.03</v>
      </c>
    </row>
    <row r="19" spans="1:10" ht="11.25" customHeight="1"/>
    <row r="20" spans="1:10" ht="23.25" customHeight="1">
      <c r="A20" t="s">
        <v>13</v>
      </c>
      <c r="E20" s="10">
        <v>1E-4</v>
      </c>
    </row>
    <row r="21" spans="1:10" ht="11.25" customHeight="1">
      <c r="E21" s="4"/>
    </row>
    <row r="22" spans="1:10" ht="23.25" customHeight="1">
      <c r="A22" t="s">
        <v>21</v>
      </c>
      <c r="B22" t="s">
        <v>22</v>
      </c>
      <c r="D22" t="s">
        <v>23</v>
      </c>
      <c r="E22" s="17">
        <f>150*1.19</f>
        <v>178.5</v>
      </c>
      <c r="F22" s="12" t="s">
        <v>25</v>
      </c>
    </row>
    <row r="23" spans="1:10" ht="23.25" customHeight="1">
      <c r="A23" s="19" t="s">
        <v>40</v>
      </c>
      <c r="D23" t="s">
        <v>24</v>
      </c>
      <c r="E23" s="17">
        <v>0</v>
      </c>
      <c r="F23" s="12" t="s">
        <v>42</v>
      </c>
    </row>
    <row r="24" spans="1:10" ht="23.25" customHeight="1">
      <c r="B24" t="s">
        <v>31</v>
      </c>
      <c r="D24" t="s">
        <v>32</v>
      </c>
      <c r="E24" s="17">
        <v>40</v>
      </c>
    </row>
    <row r="25" spans="1:10" ht="23.25" customHeight="1">
      <c r="B25" t="s">
        <v>46</v>
      </c>
      <c r="D25" t="s">
        <v>32</v>
      </c>
      <c r="E25" s="17">
        <v>500</v>
      </c>
      <c r="F25" t="s">
        <v>47</v>
      </c>
    </row>
    <row r="26" spans="1:10" ht="23.25" customHeight="1">
      <c r="B26" t="s">
        <v>45</v>
      </c>
      <c r="E26" s="17">
        <v>1000</v>
      </c>
    </row>
    <row r="27" spans="1:10" ht="15">
      <c r="E27" s="17"/>
    </row>
  </sheetData>
  <pageMargins left="0.31496062992125984" right="0.31496062992125984" top="0.59055118110236227" bottom="0.39370078740157483" header="0.31496062992125984" footer="0.31496062992125984"/>
  <pageSetup paperSize="9" orientation="landscape" r:id="rId1"/>
  <headerFooter>
    <oddFooter>&amp;R&amp;9Erfassungsblatt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A48" sqref="A48"/>
    </sheetView>
  </sheetViews>
  <sheetFormatPr baseColWidth="10" defaultRowHeight="14.25"/>
  <cols>
    <col min="1" max="1" width="10.625" customWidth="1"/>
    <col min="10" max="10" width="9.375" customWidth="1"/>
    <col min="11" max="11" width="11.25" bestFit="1" customWidth="1"/>
    <col min="12" max="12" width="11" style="12"/>
  </cols>
  <sheetData>
    <row r="1" spans="1:12" s="28" customFormat="1" ht="11.25">
      <c r="A1" s="28" t="s">
        <v>0</v>
      </c>
      <c r="D1" s="29">
        <v>7000</v>
      </c>
      <c r="G1" s="28" t="s">
        <v>38</v>
      </c>
      <c r="J1" s="43"/>
      <c r="K1" s="42"/>
      <c r="L1" s="42" t="str">
        <f>'PV Anlage Eingabe'!C1</f>
        <v>Holzhaus</v>
      </c>
    </row>
    <row r="2" spans="1:12" s="28" customFormat="1" ht="11.25">
      <c r="A2" s="28" t="s">
        <v>1</v>
      </c>
      <c r="D2" s="30">
        <f>'PV Anlage Eingabe'!C8</f>
        <v>5.85</v>
      </c>
      <c r="G2" s="28" t="s">
        <v>39</v>
      </c>
      <c r="K2" s="66">
        <f>'PV Anlage Eingabe'!C3</f>
        <v>43534</v>
      </c>
      <c r="L2" s="66"/>
    </row>
    <row r="3" spans="1:12" s="28" customFormat="1" ht="6" customHeight="1"/>
    <row r="4" spans="1:12" s="28" customFormat="1" ht="11.25">
      <c r="A4" s="28" t="s">
        <v>2</v>
      </c>
      <c r="D4" s="29">
        <f>'PV Anlage Eingabe'!C10</f>
        <v>1</v>
      </c>
    </row>
    <row r="5" spans="1:12" s="28" customFormat="1" ht="11.25">
      <c r="A5" s="28" t="s">
        <v>3</v>
      </c>
      <c r="D5" s="30">
        <f>'PV Anlage Eingabe'!C11</f>
        <v>5.85</v>
      </c>
      <c r="G5" s="31" t="s">
        <v>35</v>
      </c>
      <c r="H5" s="28">
        <f>'PV Anlage Eingabe'!I11</f>
        <v>5500</v>
      </c>
    </row>
    <row r="6" spans="1:12" s="28" customFormat="1" ht="11.25">
      <c r="A6" s="28" t="s">
        <v>4</v>
      </c>
      <c r="D6" s="32">
        <f>'PV Anlage Eingabe'!C12</f>
        <v>5.5</v>
      </c>
      <c r="G6" s="33">
        <f>'PV Anlage Eingabe'!H12</f>
        <v>0.3</v>
      </c>
      <c r="H6" s="28">
        <f>'PV Anlage Eingabe'!I12</f>
        <v>1350</v>
      </c>
      <c r="I6" s="28" t="s">
        <v>7</v>
      </c>
    </row>
    <row r="7" spans="1:12" s="28" customFormat="1" ht="11.25">
      <c r="A7" s="28" t="s">
        <v>5</v>
      </c>
      <c r="D7" s="34">
        <f>'PV Anlage Eingabe'!C13</f>
        <v>75.900000000000006</v>
      </c>
      <c r="G7" s="33">
        <f>'PV Anlage Eingabe'!H13</f>
        <v>0.7</v>
      </c>
      <c r="H7" s="28">
        <f>'PV Anlage Eingabe'!I13</f>
        <v>4150</v>
      </c>
      <c r="I7" s="28" t="s">
        <v>8</v>
      </c>
    </row>
    <row r="8" spans="1:12" ht="5.25" customHeight="1"/>
    <row r="9" spans="1:12" ht="15">
      <c r="A9" s="5" t="s">
        <v>36</v>
      </c>
      <c r="B9" s="6"/>
      <c r="C9" s="6" t="s">
        <v>34</v>
      </c>
      <c r="D9" s="6"/>
      <c r="E9" s="6"/>
      <c r="F9" s="6"/>
      <c r="G9" s="6"/>
      <c r="H9" s="6"/>
      <c r="I9" s="6"/>
      <c r="J9" s="6"/>
      <c r="K9" s="6"/>
    </row>
    <row r="10" spans="1:12" ht="22.5">
      <c r="A10" t="s">
        <v>41</v>
      </c>
      <c r="B10" s="7" t="s">
        <v>6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18</v>
      </c>
      <c r="H10" s="7" t="s">
        <v>19</v>
      </c>
      <c r="I10" s="7" t="s">
        <v>20</v>
      </c>
      <c r="J10" s="7"/>
      <c r="K10" s="7" t="s">
        <v>29</v>
      </c>
      <c r="L10" s="7" t="s">
        <v>44</v>
      </c>
    </row>
    <row r="11" spans="1:12" s="13" customFormat="1" ht="12.95" customHeight="1">
      <c r="A11" s="13">
        <v>1</v>
      </c>
      <c r="B11" s="13">
        <f>'PV Anlage Eingabe'!I11</f>
        <v>5500</v>
      </c>
      <c r="C11" s="13">
        <f>'PV Anlage Eingabe'!I12</f>
        <v>1350</v>
      </c>
      <c r="D11" s="13">
        <f t="shared" ref="D11:D40" si="0">B11-C11</f>
        <v>4150</v>
      </c>
      <c r="E11" s="15">
        <f>ROUND(D11*'PV Anlage Eingabe'!$E$15*1.19,2)</f>
        <v>493.85</v>
      </c>
      <c r="F11" s="15">
        <f>ROUND(C11*'PV Anlage Eingabe'!E18*1.19,2)</f>
        <v>401.63</v>
      </c>
      <c r="G11" s="15">
        <f t="shared" ref="G11:G40" si="1">E11+F11</f>
        <v>895.48</v>
      </c>
      <c r="H11" s="15">
        <f>'PV Anlage Eingabe'!C13*-12</f>
        <v>-910.80000000000007</v>
      </c>
      <c r="I11" s="15">
        <f>-'PV Anlage Eingabe'!E22</f>
        <v>-178.5</v>
      </c>
      <c r="J11" s="40"/>
      <c r="K11" s="15">
        <f t="shared" ref="K11:K40" si="2">G11+H11+I11</f>
        <v>-193.82000000000005</v>
      </c>
      <c r="L11" s="22">
        <f>K11</f>
        <v>-193.82000000000005</v>
      </c>
    </row>
    <row r="12" spans="1:12" s="13" customFormat="1" ht="12.95" customHeight="1">
      <c r="A12" s="13">
        <f t="shared" ref="A12:A40" si="3">A11+1</f>
        <v>2</v>
      </c>
      <c r="B12" s="13">
        <f>ROUND(B11*(1-'PV Anlage Eingabe'!$E$20),0)</f>
        <v>5499</v>
      </c>
      <c r="C12" s="13">
        <f t="shared" ref="C12:C40" si="4">C11</f>
        <v>1350</v>
      </c>
      <c r="D12" s="13">
        <f t="shared" si="0"/>
        <v>4149</v>
      </c>
      <c r="E12" s="15">
        <f>ROUND(D12*'PV Anlage Eingabe'!$E$15*1.19,2)</f>
        <v>493.73</v>
      </c>
      <c r="F12" s="15">
        <f>ROUND(F11*(1+'PV Anlage Eingabe'!$J$18),2)</f>
        <v>413.68</v>
      </c>
      <c r="G12" s="15">
        <f t="shared" si="1"/>
        <v>907.41000000000008</v>
      </c>
      <c r="H12" s="15">
        <f t="shared" ref="H12:H28" si="5">H11</f>
        <v>-910.80000000000007</v>
      </c>
      <c r="I12" s="15">
        <f>-'PV Anlage Eingabe'!E23</f>
        <v>0</v>
      </c>
      <c r="J12" s="40"/>
      <c r="K12" s="15">
        <f t="shared" si="2"/>
        <v>-3.3899999999999864</v>
      </c>
      <c r="L12" s="22">
        <f t="shared" ref="L12:L40" si="6">L11+K12</f>
        <v>-197.21000000000004</v>
      </c>
    </row>
    <row r="13" spans="1:12" s="13" customFormat="1" ht="12.95" customHeight="1">
      <c r="A13" s="13">
        <f t="shared" si="3"/>
        <v>3</v>
      </c>
      <c r="B13" s="13">
        <f>ROUND(B12*(1-'PV Anlage Eingabe'!$E$20),0)</f>
        <v>5498</v>
      </c>
      <c r="C13" s="13">
        <f t="shared" si="4"/>
        <v>1350</v>
      </c>
      <c r="D13" s="13">
        <f t="shared" si="0"/>
        <v>4148</v>
      </c>
      <c r="E13" s="15">
        <f>ROUND(D13*'PV Anlage Eingabe'!$E$15*1.19,2)</f>
        <v>493.61</v>
      </c>
      <c r="F13" s="15">
        <f>ROUND(F12*(1+'PV Anlage Eingabe'!$J$18),2)</f>
        <v>426.09</v>
      </c>
      <c r="G13" s="15">
        <f t="shared" si="1"/>
        <v>919.7</v>
      </c>
      <c r="H13" s="15">
        <f t="shared" si="5"/>
        <v>-910.80000000000007</v>
      </c>
      <c r="I13" s="15">
        <f t="shared" ref="I13:I28" si="7">I12</f>
        <v>0</v>
      </c>
      <c r="J13" s="40"/>
      <c r="K13" s="15">
        <f t="shared" si="2"/>
        <v>8.8999999999999773</v>
      </c>
      <c r="L13" s="22">
        <f t="shared" si="6"/>
        <v>-188.31000000000006</v>
      </c>
    </row>
    <row r="14" spans="1:12" s="13" customFormat="1" ht="12.95" customHeight="1">
      <c r="A14" s="13">
        <f t="shared" si="3"/>
        <v>4</v>
      </c>
      <c r="B14" s="13">
        <f>ROUND(B13*(1-'PV Anlage Eingabe'!$E$20),0)</f>
        <v>5497</v>
      </c>
      <c r="C14" s="13">
        <f t="shared" si="4"/>
        <v>1350</v>
      </c>
      <c r="D14" s="13">
        <f t="shared" si="0"/>
        <v>4147</v>
      </c>
      <c r="E14" s="15">
        <f>ROUND(D14*'PV Anlage Eingabe'!$E$15*1.19,2)</f>
        <v>493.49</v>
      </c>
      <c r="F14" s="15">
        <f>ROUND(F13*(1+'PV Anlage Eingabe'!$J$18),2)</f>
        <v>438.87</v>
      </c>
      <c r="G14" s="15">
        <f t="shared" si="1"/>
        <v>932.36</v>
      </c>
      <c r="H14" s="15">
        <f t="shared" si="5"/>
        <v>-910.80000000000007</v>
      </c>
      <c r="I14" s="15">
        <f t="shared" si="7"/>
        <v>0</v>
      </c>
      <c r="J14" s="40"/>
      <c r="K14" s="15">
        <f t="shared" si="2"/>
        <v>21.559999999999945</v>
      </c>
      <c r="L14" s="22">
        <f t="shared" si="6"/>
        <v>-166.75000000000011</v>
      </c>
    </row>
    <row r="15" spans="1:12" s="13" customFormat="1" ht="12.95" customHeight="1">
      <c r="A15" s="13">
        <f t="shared" si="3"/>
        <v>5</v>
      </c>
      <c r="B15" s="13">
        <f>ROUND(B14*(1-'PV Anlage Eingabe'!$E$20),0)</f>
        <v>5496</v>
      </c>
      <c r="C15" s="13">
        <f t="shared" si="4"/>
        <v>1350</v>
      </c>
      <c r="D15" s="13">
        <f t="shared" si="0"/>
        <v>4146</v>
      </c>
      <c r="E15" s="15">
        <f>ROUND(D15*'PV Anlage Eingabe'!$E$15*1.19,2)</f>
        <v>493.37</v>
      </c>
      <c r="F15" s="15">
        <f>ROUND(F14*(1+'PV Anlage Eingabe'!$J$18),2)</f>
        <v>452.04</v>
      </c>
      <c r="G15" s="15">
        <f t="shared" si="1"/>
        <v>945.41000000000008</v>
      </c>
      <c r="H15" s="15">
        <f t="shared" si="5"/>
        <v>-910.80000000000007</v>
      </c>
      <c r="I15" s="15">
        <f t="shared" si="7"/>
        <v>0</v>
      </c>
      <c r="J15" s="40"/>
      <c r="K15" s="15">
        <f t="shared" si="2"/>
        <v>34.610000000000014</v>
      </c>
      <c r="L15" s="22">
        <f t="shared" si="6"/>
        <v>-132.1400000000001</v>
      </c>
    </row>
    <row r="16" spans="1:12" s="13" customFormat="1" ht="12.95" customHeight="1">
      <c r="A16" s="13">
        <f t="shared" si="3"/>
        <v>6</v>
      </c>
      <c r="B16" s="13">
        <f>ROUND(B15*(1-'PV Anlage Eingabe'!$E$20),0)</f>
        <v>5495</v>
      </c>
      <c r="C16" s="13">
        <f t="shared" si="4"/>
        <v>1350</v>
      </c>
      <c r="D16" s="13">
        <f t="shared" si="0"/>
        <v>4145</v>
      </c>
      <c r="E16" s="15">
        <f>ROUND(D16*'PV Anlage Eingabe'!$E$15*1.19,2)</f>
        <v>493.26</v>
      </c>
      <c r="F16" s="15">
        <f>ROUND(F15*(1+'PV Anlage Eingabe'!$J$18),2)</f>
        <v>465.6</v>
      </c>
      <c r="G16" s="15">
        <f t="shared" si="1"/>
        <v>958.86</v>
      </c>
      <c r="H16" s="15">
        <f t="shared" si="5"/>
        <v>-910.80000000000007</v>
      </c>
      <c r="I16" s="15">
        <f t="shared" si="7"/>
        <v>0</v>
      </c>
      <c r="J16" s="40"/>
      <c r="K16" s="15">
        <f t="shared" si="2"/>
        <v>48.059999999999945</v>
      </c>
      <c r="L16" s="22">
        <f t="shared" si="6"/>
        <v>-84.080000000000155</v>
      </c>
    </row>
    <row r="17" spans="1:12" s="13" customFormat="1" ht="12.95" customHeight="1">
      <c r="A17" s="13">
        <f t="shared" si="3"/>
        <v>7</v>
      </c>
      <c r="B17" s="13">
        <f>ROUND(B16*(1-'PV Anlage Eingabe'!$E$20),0)</f>
        <v>5494</v>
      </c>
      <c r="C17" s="13">
        <f t="shared" si="4"/>
        <v>1350</v>
      </c>
      <c r="D17" s="13">
        <f t="shared" si="0"/>
        <v>4144</v>
      </c>
      <c r="E17" s="15">
        <f>ROUND(D17*'PV Anlage Eingabe'!$E$15*1.19,2)</f>
        <v>493.14</v>
      </c>
      <c r="F17" s="15">
        <f>ROUND(F16*(1+'PV Anlage Eingabe'!$J$18),2)</f>
        <v>479.57</v>
      </c>
      <c r="G17" s="15">
        <f t="shared" si="1"/>
        <v>972.71</v>
      </c>
      <c r="H17" s="15">
        <f t="shared" si="5"/>
        <v>-910.80000000000007</v>
      </c>
      <c r="I17" s="15">
        <f t="shared" si="7"/>
        <v>0</v>
      </c>
      <c r="J17" s="40"/>
      <c r="K17" s="15">
        <f t="shared" si="2"/>
        <v>61.909999999999968</v>
      </c>
      <c r="L17" s="22">
        <f t="shared" si="6"/>
        <v>-22.170000000000186</v>
      </c>
    </row>
    <row r="18" spans="1:12" s="13" customFormat="1" ht="12.95" customHeight="1">
      <c r="A18" s="13">
        <f t="shared" si="3"/>
        <v>8</v>
      </c>
      <c r="B18" s="13">
        <f>ROUND(B17*(1-'PV Anlage Eingabe'!$E$20),0)</f>
        <v>5493</v>
      </c>
      <c r="C18" s="13">
        <f t="shared" si="4"/>
        <v>1350</v>
      </c>
      <c r="D18" s="13">
        <f t="shared" si="0"/>
        <v>4143</v>
      </c>
      <c r="E18" s="15">
        <f>ROUND(D18*'PV Anlage Eingabe'!$E$15*1.19,2)</f>
        <v>493.02</v>
      </c>
      <c r="F18" s="15">
        <f>ROUND(F17*(1+'PV Anlage Eingabe'!$J$18),2)</f>
        <v>493.96</v>
      </c>
      <c r="G18" s="15">
        <f t="shared" si="1"/>
        <v>986.98</v>
      </c>
      <c r="H18" s="15">
        <f t="shared" si="5"/>
        <v>-910.80000000000007</v>
      </c>
      <c r="I18" s="15">
        <f t="shared" si="7"/>
        <v>0</v>
      </c>
      <c r="J18" s="40"/>
      <c r="K18" s="15">
        <f t="shared" si="2"/>
        <v>76.17999999999995</v>
      </c>
      <c r="L18" s="22">
        <f t="shared" si="6"/>
        <v>54.009999999999764</v>
      </c>
    </row>
    <row r="19" spans="1:12" s="13" customFormat="1" ht="12.95" customHeight="1">
      <c r="A19" s="13">
        <f t="shared" si="3"/>
        <v>9</v>
      </c>
      <c r="B19" s="13">
        <f>ROUND(B18*(1-'PV Anlage Eingabe'!$E$20),0)</f>
        <v>5492</v>
      </c>
      <c r="C19" s="13">
        <f t="shared" si="4"/>
        <v>1350</v>
      </c>
      <c r="D19" s="13">
        <f t="shared" si="0"/>
        <v>4142</v>
      </c>
      <c r="E19" s="15">
        <f>ROUND(D19*'PV Anlage Eingabe'!$E$15*1.19,2)</f>
        <v>492.9</v>
      </c>
      <c r="F19" s="15">
        <f>ROUND(F18*(1+'PV Anlage Eingabe'!$J$18),2)</f>
        <v>508.78</v>
      </c>
      <c r="G19" s="15">
        <f t="shared" si="1"/>
        <v>1001.68</v>
      </c>
      <c r="H19" s="15">
        <f t="shared" si="5"/>
        <v>-910.80000000000007</v>
      </c>
      <c r="I19" s="15">
        <f t="shared" si="7"/>
        <v>0</v>
      </c>
      <c r="J19" s="40"/>
      <c r="K19" s="15">
        <f t="shared" si="2"/>
        <v>90.879999999999882</v>
      </c>
      <c r="L19" s="22">
        <f t="shared" si="6"/>
        <v>144.88999999999965</v>
      </c>
    </row>
    <row r="20" spans="1:12" s="13" customFormat="1" ht="12.95" customHeight="1">
      <c r="A20" s="13">
        <f t="shared" si="3"/>
        <v>10</v>
      </c>
      <c r="B20" s="13">
        <f>ROUND(B19*(1-'PV Anlage Eingabe'!$E$20),0)</f>
        <v>5491</v>
      </c>
      <c r="C20" s="13">
        <f t="shared" si="4"/>
        <v>1350</v>
      </c>
      <c r="D20" s="13">
        <f t="shared" si="0"/>
        <v>4141</v>
      </c>
      <c r="E20" s="15">
        <f>ROUND(D20*'PV Anlage Eingabe'!$E$15*1.19,2)</f>
        <v>492.78</v>
      </c>
      <c r="F20" s="15">
        <f>ROUND(F19*(1+'PV Anlage Eingabe'!$J$18),2)</f>
        <v>524.04</v>
      </c>
      <c r="G20" s="15">
        <f t="shared" si="1"/>
        <v>1016.8199999999999</v>
      </c>
      <c r="H20" s="15">
        <f t="shared" si="5"/>
        <v>-910.80000000000007</v>
      </c>
      <c r="I20" s="15">
        <f t="shared" si="7"/>
        <v>0</v>
      </c>
      <c r="J20" s="40"/>
      <c r="K20" s="15">
        <f t="shared" si="2"/>
        <v>106.01999999999987</v>
      </c>
      <c r="L20" s="22">
        <f t="shared" si="6"/>
        <v>250.90999999999951</v>
      </c>
    </row>
    <row r="21" spans="1:12" s="13" customFormat="1" ht="12.95" customHeight="1">
      <c r="A21" s="13">
        <f t="shared" si="3"/>
        <v>11</v>
      </c>
      <c r="B21" s="13">
        <f>ROUND(B20*(1-'PV Anlage Eingabe'!$E$20),0)</f>
        <v>5490</v>
      </c>
      <c r="C21" s="13">
        <f t="shared" si="4"/>
        <v>1350</v>
      </c>
      <c r="D21" s="13">
        <f t="shared" si="0"/>
        <v>4140</v>
      </c>
      <c r="E21" s="15">
        <f>ROUND(D21*'PV Anlage Eingabe'!$E$15*1.19,2)</f>
        <v>492.66</v>
      </c>
      <c r="F21" s="15">
        <f>ROUND(F20*(1+'PV Anlage Eingabe'!$J$18),2)</f>
        <v>539.76</v>
      </c>
      <c r="G21" s="15">
        <f t="shared" si="1"/>
        <v>1032.42</v>
      </c>
      <c r="H21" s="15">
        <f t="shared" si="5"/>
        <v>-910.80000000000007</v>
      </c>
      <c r="I21" s="15">
        <f t="shared" si="7"/>
        <v>0</v>
      </c>
      <c r="J21" s="40"/>
      <c r="K21" s="15">
        <f t="shared" si="2"/>
        <v>121.62</v>
      </c>
      <c r="L21" s="22">
        <f t="shared" si="6"/>
        <v>372.52999999999952</v>
      </c>
    </row>
    <row r="22" spans="1:12" s="13" customFormat="1" ht="12.95" customHeight="1">
      <c r="A22" s="13">
        <f t="shared" si="3"/>
        <v>12</v>
      </c>
      <c r="B22" s="13">
        <f>ROUND(B21*(1-'PV Anlage Eingabe'!$E$20),0)</f>
        <v>5489</v>
      </c>
      <c r="C22" s="13">
        <f t="shared" si="4"/>
        <v>1350</v>
      </c>
      <c r="D22" s="13">
        <f t="shared" si="0"/>
        <v>4139</v>
      </c>
      <c r="E22" s="15">
        <f>ROUND(D22*'PV Anlage Eingabe'!$E$15*1.19,2)</f>
        <v>492.54</v>
      </c>
      <c r="F22" s="15">
        <f>ROUND(F21*(1+'PV Anlage Eingabe'!$J$18),2)</f>
        <v>555.95000000000005</v>
      </c>
      <c r="G22" s="15">
        <f t="shared" si="1"/>
        <v>1048.49</v>
      </c>
      <c r="H22" s="15">
        <f t="shared" si="5"/>
        <v>-910.80000000000007</v>
      </c>
      <c r="I22" s="15">
        <f t="shared" si="7"/>
        <v>0</v>
      </c>
      <c r="J22" s="40"/>
      <c r="K22" s="15">
        <f t="shared" si="2"/>
        <v>137.68999999999994</v>
      </c>
      <c r="L22" s="22">
        <f t="shared" si="6"/>
        <v>510.21999999999946</v>
      </c>
    </row>
    <row r="23" spans="1:12" s="13" customFormat="1" ht="12.95" customHeight="1">
      <c r="A23" s="13">
        <f t="shared" si="3"/>
        <v>13</v>
      </c>
      <c r="B23" s="13">
        <f>ROUND(B22*(1-'PV Anlage Eingabe'!$E$20),0)</f>
        <v>5488</v>
      </c>
      <c r="C23" s="13">
        <f t="shared" si="4"/>
        <v>1350</v>
      </c>
      <c r="D23" s="13">
        <f t="shared" si="0"/>
        <v>4138</v>
      </c>
      <c r="E23" s="15">
        <f>ROUND(D23*'PV Anlage Eingabe'!$E$15*1.19,2)</f>
        <v>492.42</v>
      </c>
      <c r="F23" s="15">
        <f>ROUND(F22*(1+'PV Anlage Eingabe'!$J$18),2)</f>
        <v>572.63</v>
      </c>
      <c r="G23" s="15">
        <f t="shared" si="1"/>
        <v>1065.05</v>
      </c>
      <c r="H23" s="15">
        <f t="shared" si="5"/>
        <v>-910.80000000000007</v>
      </c>
      <c r="I23" s="15">
        <f t="shared" si="7"/>
        <v>0</v>
      </c>
      <c r="J23" s="40"/>
      <c r="K23" s="15">
        <f t="shared" si="2"/>
        <v>154.24999999999989</v>
      </c>
      <c r="L23" s="22">
        <f t="shared" si="6"/>
        <v>664.46999999999935</v>
      </c>
    </row>
    <row r="24" spans="1:12" s="13" customFormat="1" ht="12.95" customHeight="1">
      <c r="A24" s="13">
        <f t="shared" si="3"/>
        <v>14</v>
      </c>
      <c r="B24" s="13">
        <f>ROUND(B23*(1-'PV Anlage Eingabe'!$E$20),0)</f>
        <v>5487</v>
      </c>
      <c r="C24" s="13">
        <f t="shared" si="4"/>
        <v>1350</v>
      </c>
      <c r="D24" s="13">
        <f t="shared" si="0"/>
        <v>4137</v>
      </c>
      <c r="E24" s="15">
        <f>ROUND(D24*'PV Anlage Eingabe'!$E$15*1.19,2)</f>
        <v>492.3</v>
      </c>
      <c r="F24" s="15">
        <f>ROUND(F23*(1+'PV Anlage Eingabe'!$J$18),2)</f>
        <v>589.80999999999995</v>
      </c>
      <c r="G24" s="15">
        <f t="shared" si="1"/>
        <v>1082.1099999999999</v>
      </c>
      <c r="H24" s="15">
        <f t="shared" si="5"/>
        <v>-910.80000000000007</v>
      </c>
      <c r="I24" s="15">
        <f t="shared" si="7"/>
        <v>0</v>
      </c>
      <c r="J24" s="40"/>
      <c r="K24" s="15">
        <f t="shared" si="2"/>
        <v>171.30999999999983</v>
      </c>
      <c r="L24" s="22">
        <f t="shared" si="6"/>
        <v>835.77999999999918</v>
      </c>
    </row>
    <row r="25" spans="1:12" s="13" customFormat="1" ht="12.95" customHeight="1">
      <c r="A25" s="13">
        <f t="shared" si="3"/>
        <v>15</v>
      </c>
      <c r="B25" s="13">
        <f>ROUND(B24*(1-'PV Anlage Eingabe'!$E$20),0)</f>
        <v>5486</v>
      </c>
      <c r="C25" s="13">
        <f t="shared" si="4"/>
        <v>1350</v>
      </c>
      <c r="D25" s="13">
        <f t="shared" si="0"/>
        <v>4136</v>
      </c>
      <c r="E25" s="15">
        <f>ROUND(D25*'PV Anlage Eingabe'!$E$15*1.19,2)</f>
        <v>492.18</v>
      </c>
      <c r="F25" s="15">
        <f>ROUND(F24*(1+'PV Anlage Eingabe'!$J$18),2)</f>
        <v>607.5</v>
      </c>
      <c r="G25" s="15">
        <f t="shared" si="1"/>
        <v>1099.68</v>
      </c>
      <c r="H25" s="15">
        <f t="shared" si="5"/>
        <v>-910.80000000000007</v>
      </c>
      <c r="I25" s="15">
        <f t="shared" si="7"/>
        <v>0</v>
      </c>
      <c r="J25" s="40"/>
      <c r="K25" s="15">
        <f t="shared" si="2"/>
        <v>188.88</v>
      </c>
      <c r="L25" s="22">
        <f t="shared" si="6"/>
        <v>1024.6599999999992</v>
      </c>
    </row>
    <row r="26" spans="1:12" s="13" customFormat="1" ht="12.95" customHeight="1">
      <c r="A26" s="13">
        <f t="shared" si="3"/>
        <v>16</v>
      </c>
      <c r="B26" s="13">
        <f>ROUND(B25*(1-'PV Anlage Eingabe'!$E$20),0)</f>
        <v>5485</v>
      </c>
      <c r="C26" s="13">
        <f t="shared" si="4"/>
        <v>1350</v>
      </c>
      <c r="D26" s="13">
        <f t="shared" si="0"/>
        <v>4135</v>
      </c>
      <c r="E26" s="15">
        <f>ROUND(D26*'PV Anlage Eingabe'!$E$15*1.19,2)</f>
        <v>492.07</v>
      </c>
      <c r="F26" s="15">
        <f>ROUND(F25*(1+'PV Anlage Eingabe'!$J$18),2)</f>
        <v>625.73</v>
      </c>
      <c r="G26" s="15">
        <f t="shared" si="1"/>
        <v>1117.8</v>
      </c>
      <c r="H26" s="15">
        <f t="shared" si="5"/>
        <v>-910.80000000000007</v>
      </c>
      <c r="I26" s="15">
        <f t="shared" si="7"/>
        <v>0</v>
      </c>
      <c r="J26" s="40"/>
      <c r="K26" s="15">
        <f t="shared" si="2"/>
        <v>206.99999999999989</v>
      </c>
      <c r="L26" s="22">
        <f t="shared" si="6"/>
        <v>1231.6599999999989</v>
      </c>
    </row>
    <row r="27" spans="1:12" s="13" customFormat="1" ht="12.95" customHeight="1">
      <c r="A27" s="13">
        <f t="shared" si="3"/>
        <v>17</v>
      </c>
      <c r="B27" s="13">
        <f>ROUND(B26*(1-'PV Anlage Eingabe'!$E$20),0)</f>
        <v>5484</v>
      </c>
      <c r="C27" s="13">
        <f t="shared" si="4"/>
        <v>1350</v>
      </c>
      <c r="D27" s="13">
        <f t="shared" si="0"/>
        <v>4134</v>
      </c>
      <c r="E27" s="15">
        <f>ROUND(D27*'PV Anlage Eingabe'!$E$15*1.19,2)</f>
        <v>491.95</v>
      </c>
      <c r="F27" s="15">
        <f>ROUND(F26*(1+'PV Anlage Eingabe'!$J$18),2)</f>
        <v>644.5</v>
      </c>
      <c r="G27" s="15">
        <f t="shared" si="1"/>
        <v>1136.45</v>
      </c>
      <c r="H27" s="15">
        <f t="shared" si="5"/>
        <v>-910.80000000000007</v>
      </c>
      <c r="I27" s="15">
        <f t="shared" si="7"/>
        <v>0</v>
      </c>
      <c r="J27" s="40"/>
      <c r="K27" s="15">
        <f t="shared" si="2"/>
        <v>225.64999999999998</v>
      </c>
      <c r="L27" s="22">
        <f t="shared" si="6"/>
        <v>1457.309999999999</v>
      </c>
    </row>
    <row r="28" spans="1:12" s="13" customFormat="1" ht="12.95" customHeight="1">
      <c r="A28" s="13">
        <f t="shared" si="3"/>
        <v>18</v>
      </c>
      <c r="B28" s="13">
        <f>ROUND(B27*(1-'PV Anlage Eingabe'!$E$20),0)</f>
        <v>5483</v>
      </c>
      <c r="C28" s="13">
        <f t="shared" si="4"/>
        <v>1350</v>
      </c>
      <c r="D28" s="13">
        <f t="shared" si="0"/>
        <v>4133</v>
      </c>
      <c r="E28" s="15">
        <f>ROUND(D28*'PV Anlage Eingabe'!$E$15*1.19,2)</f>
        <v>491.83</v>
      </c>
      <c r="F28" s="15">
        <f>ROUND(F27*(1+'PV Anlage Eingabe'!$J$18),2)</f>
        <v>663.84</v>
      </c>
      <c r="G28" s="15">
        <f t="shared" si="1"/>
        <v>1155.67</v>
      </c>
      <c r="H28" s="15">
        <f t="shared" si="5"/>
        <v>-910.80000000000007</v>
      </c>
      <c r="I28" s="15">
        <f t="shared" si="7"/>
        <v>0</v>
      </c>
      <c r="J28" s="40"/>
      <c r="K28" s="15">
        <f t="shared" si="2"/>
        <v>244.87</v>
      </c>
      <c r="L28" s="22">
        <f t="shared" si="6"/>
        <v>1702.1799999999989</v>
      </c>
    </row>
    <row r="29" spans="1:12" s="41" customFormat="1" ht="18.75" customHeight="1">
      <c r="A29" s="52">
        <f t="shared" si="3"/>
        <v>19</v>
      </c>
      <c r="B29" s="52">
        <f>ROUND(B28*(1-'PV Anlage Eingabe'!$E$20),0)</f>
        <v>5482</v>
      </c>
      <c r="C29" s="52">
        <f t="shared" si="4"/>
        <v>1350</v>
      </c>
      <c r="D29" s="52">
        <f t="shared" si="0"/>
        <v>4132</v>
      </c>
      <c r="E29" s="53">
        <f>ROUND(D29*'PV Anlage Eingabe'!$E$15*1.19,2)</f>
        <v>491.71</v>
      </c>
      <c r="F29" s="53">
        <f>ROUND(F28*(1+'PV Anlage Eingabe'!$J$18),2)</f>
        <v>683.76</v>
      </c>
      <c r="G29" s="53">
        <f t="shared" si="1"/>
        <v>1175.47</v>
      </c>
      <c r="H29" s="53">
        <v>-1</v>
      </c>
      <c r="I29" s="53">
        <f>I28-'PV Anlage Eingabe'!E25-'PV Anlage Eingabe'!E24</f>
        <v>-540</v>
      </c>
      <c r="J29" s="54" t="s">
        <v>53</v>
      </c>
      <c r="K29" s="53">
        <f t="shared" si="2"/>
        <v>634.47</v>
      </c>
      <c r="L29" s="55">
        <f t="shared" si="6"/>
        <v>2336.6499999999987</v>
      </c>
    </row>
    <row r="30" spans="1:12" s="13" customFormat="1" ht="12.95" customHeight="1">
      <c r="A30" s="56">
        <f t="shared" si="3"/>
        <v>20</v>
      </c>
      <c r="B30" s="56">
        <f>ROUND(B29*(1-'PV Anlage Eingabe'!$E$20),0)</f>
        <v>5481</v>
      </c>
      <c r="C30" s="56">
        <f t="shared" si="4"/>
        <v>1350</v>
      </c>
      <c r="D30" s="56">
        <f t="shared" si="0"/>
        <v>4131</v>
      </c>
      <c r="E30" s="57">
        <f>ROUND(D30*'PV Anlage Eingabe'!$E$15*1.19,2)</f>
        <v>491.59</v>
      </c>
      <c r="F30" s="57">
        <f>ROUND(F29*(1+'PV Anlage Eingabe'!$J$18),2)</f>
        <v>704.27</v>
      </c>
      <c r="G30" s="57">
        <f t="shared" si="1"/>
        <v>1195.8599999999999</v>
      </c>
      <c r="H30" s="57">
        <v>0</v>
      </c>
      <c r="I30" s="57">
        <f>-'PV Anlage Eingabe'!E23-'PV Anlage Eingabe'!E24</f>
        <v>-40</v>
      </c>
      <c r="J30" s="58"/>
      <c r="K30" s="57">
        <f t="shared" si="2"/>
        <v>1155.8599999999999</v>
      </c>
      <c r="L30" s="59">
        <f t="shared" si="6"/>
        <v>3492.5099999999984</v>
      </c>
    </row>
    <row r="31" spans="1:12" s="13" customFormat="1" ht="12.95" customHeight="1">
      <c r="A31" s="56">
        <f t="shared" si="3"/>
        <v>21</v>
      </c>
      <c r="B31" s="56">
        <f>ROUND(B30*(1-'PV Anlage Eingabe'!$E$20),0)</f>
        <v>5480</v>
      </c>
      <c r="C31" s="56">
        <f t="shared" si="4"/>
        <v>1350</v>
      </c>
      <c r="D31" s="56">
        <f t="shared" si="0"/>
        <v>4130</v>
      </c>
      <c r="E31" s="57">
        <f>D31*'PV Anlage Eingabe'!$E$16*1.19</f>
        <v>196.58800000000002</v>
      </c>
      <c r="F31" s="57">
        <f>ROUND(F30*(1+'PV Anlage Eingabe'!$J$18),2)</f>
        <v>725.4</v>
      </c>
      <c r="G31" s="57">
        <f t="shared" si="1"/>
        <v>921.98800000000006</v>
      </c>
      <c r="H31" s="57">
        <v>0</v>
      </c>
      <c r="I31" s="57">
        <f>-'PV Anlage Eingabe'!E23-'PV Anlage Eingabe'!E24-'PV Anlage Eingabe'!E26</f>
        <v>-1040</v>
      </c>
      <c r="J31" s="58" t="s">
        <v>51</v>
      </c>
      <c r="K31" s="60">
        <f t="shared" si="2"/>
        <v>-118.01199999999994</v>
      </c>
      <c r="L31" s="59">
        <f t="shared" si="6"/>
        <v>3374.4979999999987</v>
      </c>
    </row>
    <row r="32" spans="1:12" s="13" customFormat="1" ht="12.95" customHeight="1">
      <c r="A32" s="56">
        <f t="shared" si="3"/>
        <v>22</v>
      </c>
      <c r="B32" s="56">
        <f>ROUND(B31*(1-'PV Anlage Eingabe'!$E$20),0)</f>
        <v>5479</v>
      </c>
      <c r="C32" s="56">
        <f t="shared" si="4"/>
        <v>1350</v>
      </c>
      <c r="D32" s="56">
        <f t="shared" si="0"/>
        <v>4129</v>
      </c>
      <c r="E32" s="57">
        <f>D32*'PV Anlage Eingabe'!$E$16*1.19</f>
        <v>196.54039999999998</v>
      </c>
      <c r="F32" s="57">
        <f>ROUND(F31*(1+'PV Anlage Eingabe'!$J$18),2)</f>
        <v>747.16</v>
      </c>
      <c r="G32" s="57">
        <f t="shared" si="1"/>
        <v>943.70039999999995</v>
      </c>
      <c r="H32" s="57">
        <v>0</v>
      </c>
      <c r="I32" s="57">
        <f>-'PV Anlage Eingabe'!E23-'PV Anlage Eingabe'!E24</f>
        <v>-40</v>
      </c>
      <c r="J32" s="58"/>
      <c r="K32" s="60">
        <f t="shared" si="2"/>
        <v>903.70039999999995</v>
      </c>
      <c r="L32" s="59">
        <f t="shared" si="6"/>
        <v>4278.1983999999984</v>
      </c>
    </row>
    <row r="33" spans="1:12" s="13" customFormat="1" ht="12.95" customHeight="1">
      <c r="A33" s="56">
        <f t="shared" si="3"/>
        <v>23</v>
      </c>
      <c r="B33" s="56">
        <f>ROUND(B32*(1-'PV Anlage Eingabe'!$E$20),0)</f>
        <v>5478</v>
      </c>
      <c r="C33" s="56">
        <f t="shared" si="4"/>
        <v>1350</v>
      </c>
      <c r="D33" s="56">
        <f t="shared" si="0"/>
        <v>4128</v>
      </c>
      <c r="E33" s="57">
        <f>D33*'PV Anlage Eingabe'!$E$16*1.19</f>
        <v>196.49279999999999</v>
      </c>
      <c r="F33" s="57">
        <f>ROUND(F32*(1+'PV Anlage Eingabe'!$J$18),2)</f>
        <v>769.57</v>
      </c>
      <c r="G33" s="57">
        <f t="shared" si="1"/>
        <v>966.06280000000004</v>
      </c>
      <c r="H33" s="57">
        <v>0</v>
      </c>
      <c r="I33" s="57">
        <f>I32</f>
        <v>-40</v>
      </c>
      <c r="J33" s="58"/>
      <c r="K33" s="60">
        <f t="shared" si="2"/>
        <v>926.06280000000004</v>
      </c>
      <c r="L33" s="59">
        <f t="shared" si="6"/>
        <v>5204.2611999999981</v>
      </c>
    </row>
    <row r="34" spans="1:12" s="13" customFormat="1" ht="12.95" customHeight="1">
      <c r="A34" s="56">
        <f t="shared" si="3"/>
        <v>24</v>
      </c>
      <c r="B34" s="56">
        <f>ROUND(B33*(1-'PV Anlage Eingabe'!$E$20),0)</f>
        <v>5477</v>
      </c>
      <c r="C34" s="56">
        <f t="shared" si="4"/>
        <v>1350</v>
      </c>
      <c r="D34" s="56">
        <f t="shared" si="0"/>
        <v>4127</v>
      </c>
      <c r="E34" s="57">
        <f>D34*'PV Anlage Eingabe'!$E$16*1.19</f>
        <v>196.4452</v>
      </c>
      <c r="F34" s="57">
        <f>ROUND(F33*(1+'PV Anlage Eingabe'!$J$18),2)</f>
        <v>792.66</v>
      </c>
      <c r="G34" s="57">
        <f t="shared" si="1"/>
        <v>989.10519999999997</v>
      </c>
      <c r="H34" s="57">
        <v>0</v>
      </c>
      <c r="I34" s="57">
        <f>I33-'PV Anlage Eingabe'!E25</f>
        <v>-540</v>
      </c>
      <c r="J34" s="58" t="s">
        <v>52</v>
      </c>
      <c r="K34" s="60">
        <f t="shared" si="2"/>
        <v>449.10519999999997</v>
      </c>
      <c r="L34" s="59">
        <f t="shared" si="6"/>
        <v>5653.3663999999981</v>
      </c>
    </row>
    <row r="35" spans="1:12" s="13" customFormat="1" ht="12.95" customHeight="1">
      <c r="A35" s="56">
        <f t="shared" si="3"/>
        <v>25</v>
      </c>
      <c r="B35" s="56">
        <f>ROUND(B34*(1-'PV Anlage Eingabe'!$E$20),0)</f>
        <v>5476</v>
      </c>
      <c r="C35" s="56">
        <f t="shared" si="4"/>
        <v>1350</v>
      </c>
      <c r="D35" s="56">
        <f t="shared" si="0"/>
        <v>4126</v>
      </c>
      <c r="E35" s="57">
        <f>D35*'PV Anlage Eingabe'!$E$16*1.19</f>
        <v>196.39759999999998</v>
      </c>
      <c r="F35" s="57">
        <f>ROUND(F34*(1+'PV Anlage Eingabe'!$J$18),2)</f>
        <v>816.44</v>
      </c>
      <c r="G35" s="57">
        <f t="shared" si="1"/>
        <v>1012.8376000000001</v>
      </c>
      <c r="H35" s="57">
        <v>0</v>
      </c>
      <c r="I35" s="57">
        <f>I32</f>
        <v>-40</v>
      </c>
      <c r="J35" s="58"/>
      <c r="K35" s="60">
        <f t="shared" si="2"/>
        <v>972.83760000000007</v>
      </c>
      <c r="L35" s="59">
        <f t="shared" si="6"/>
        <v>6626.2039999999979</v>
      </c>
    </row>
    <row r="36" spans="1:12" s="13" customFormat="1" ht="12.95" customHeight="1">
      <c r="A36" s="56">
        <f t="shared" si="3"/>
        <v>26</v>
      </c>
      <c r="B36" s="56">
        <f>ROUND(B35*(1-'PV Anlage Eingabe'!$E$20),0)</f>
        <v>5475</v>
      </c>
      <c r="C36" s="56">
        <f t="shared" si="4"/>
        <v>1350</v>
      </c>
      <c r="D36" s="56">
        <f t="shared" si="0"/>
        <v>4125</v>
      </c>
      <c r="E36" s="57">
        <f>D36*'PV Anlage Eingabe'!$E$16*1.19</f>
        <v>196.35</v>
      </c>
      <c r="F36" s="57">
        <f>ROUND(F35*(1+'PV Anlage Eingabe'!$J$18),2)</f>
        <v>840.93</v>
      </c>
      <c r="G36" s="57">
        <f t="shared" si="1"/>
        <v>1037.28</v>
      </c>
      <c r="H36" s="57">
        <v>0</v>
      </c>
      <c r="I36" s="57">
        <f>I35</f>
        <v>-40</v>
      </c>
      <c r="J36" s="58"/>
      <c r="K36" s="60">
        <f t="shared" si="2"/>
        <v>997.28</v>
      </c>
      <c r="L36" s="59">
        <f t="shared" si="6"/>
        <v>7623.4839999999976</v>
      </c>
    </row>
    <row r="37" spans="1:12" s="13" customFormat="1" ht="12.95" customHeight="1">
      <c r="A37" s="56">
        <f t="shared" si="3"/>
        <v>27</v>
      </c>
      <c r="B37" s="56">
        <f>ROUND(B36*(1-'PV Anlage Eingabe'!$E$20),0)</f>
        <v>5474</v>
      </c>
      <c r="C37" s="56">
        <f t="shared" si="4"/>
        <v>1350</v>
      </c>
      <c r="D37" s="56">
        <f t="shared" si="0"/>
        <v>4124</v>
      </c>
      <c r="E37" s="57">
        <f>D37*'PV Anlage Eingabe'!$E$16*1.19</f>
        <v>196.30240000000001</v>
      </c>
      <c r="F37" s="57">
        <f>ROUND(F36*(1+'PV Anlage Eingabe'!$J$18),2)</f>
        <v>866.16</v>
      </c>
      <c r="G37" s="57">
        <f t="shared" si="1"/>
        <v>1062.4623999999999</v>
      </c>
      <c r="H37" s="57">
        <v>0</v>
      </c>
      <c r="I37" s="57">
        <f>I36</f>
        <v>-40</v>
      </c>
      <c r="J37" s="58"/>
      <c r="K37" s="60">
        <f t="shared" si="2"/>
        <v>1022.4623999999999</v>
      </c>
      <c r="L37" s="59">
        <f t="shared" si="6"/>
        <v>8645.9463999999971</v>
      </c>
    </row>
    <row r="38" spans="1:12" s="13" customFormat="1" ht="12.95" customHeight="1">
      <c r="A38" s="56">
        <f t="shared" si="3"/>
        <v>28</v>
      </c>
      <c r="B38" s="56">
        <f>ROUND(B37*(1-'PV Anlage Eingabe'!$E$20),0)</f>
        <v>5473</v>
      </c>
      <c r="C38" s="56">
        <f t="shared" si="4"/>
        <v>1350</v>
      </c>
      <c r="D38" s="56">
        <f t="shared" si="0"/>
        <v>4123</v>
      </c>
      <c r="E38" s="57">
        <f>D38*'PV Anlage Eingabe'!$E$16*1.19</f>
        <v>196.25480000000002</v>
      </c>
      <c r="F38" s="57">
        <f>ROUND(F37*(1+'PV Anlage Eingabe'!$J$18),2)</f>
        <v>892.14</v>
      </c>
      <c r="G38" s="57">
        <f t="shared" si="1"/>
        <v>1088.3948</v>
      </c>
      <c r="H38" s="57">
        <v>0</v>
      </c>
      <c r="I38" s="57">
        <f>I37</f>
        <v>-40</v>
      </c>
      <c r="J38" s="58"/>
      <c r="K38" s="60">
        <f t="shared" si="2"/>
        <v>1048.3948</v>
      </c>
      <c r="L38" s="59">
        <f t="shared" si="6"/>
        <v>9694.3411999999971</v>
      </c>
    </row>
    <row r="39" spans="1:12" s="13" customFormat="1" ht="12.95" customHeight="1">
      <c r="A39" s="56">
        <f t="shared" si="3"/>
        <v>29</v>
      </c>
      <c r="B39" s="56">
        <f>ROUND(B38*(1-'PV Anlage Eingabe'!$E$20),0)</f>
        <v>5472</v>
      </c>
      <c r="C39" s="56">
        <f t="shared" si="4"/>
        <v>1350</v>
      </c>
      <c r="D39" s="56">
        <f t="shared" si="0"/>
        <v>4122</v>
      </c>
      <c r="E39" s="57">
        <f>D39*'PV Anlage Eingabe'!$E$16*1.19</f>
        <v>196.20719999999997</v>
      </c>
      <c r="F39" s="57">
        <f>ROUND(F38*(1+'PV Anlage Eingabe'!$J$18),2)</f>
        <v>918.9</v>
      </c>
      <c r="G39" s="57">
        <f t="shared" si="1"/>
        <v>1115.1071999999999</v>
      </c>
      <c r="H39" s="57">
        <v>0</v>
      </c>
      <c r="I39" s="57">
        <f>I38-'PV Anlage Eingabe'!E25</f>
        <v>-540</v>
      </c>
      <c r="J39" s="58" t="s">
        <v>52</v>
      </c>
      <c r="K39" s="60">
        <f t="shared" si="2"/>
        <v>575.10719999999992</v>
      </c>
      <c r="L39" s="59">
        <f t="shared" si="6"/>
        <v>10269.448399999997</v>
      </c>
    </row>
    <row r="40" spans="1:12" s="13" customFormat="1" ht="12.95" customHeight="1">
      <c r="A40" s="56">
        <f t="shared" si="3"/>
        <v>30</v>
      </c>
      <c r="B40" s="56">
        <f>ROUND(B39*(1-'PV Anlage Eingabe'!$E$20),0)</f>
        <v>5471</v>
      </c>
      <c r="C40" s="56">
        <f t="shared" si="4"/>
        <v>1350</v>
      </c>
      <c r="D40" s="56">
        <f t="shared" si="0"/>
        <v>4121</v>
      </c>
      <c r="E40" s="57">
        <f>D40*'PV Anlage Eingabe'!$E$16*1.19</f>
        <v>196.15959999999998</v>
      </c>
      <c r="F40" s="57">
        <f>ROUND(F39*(1+'PV Anlage Eingabe'!$J$18),2)</f>
        <v>946.47</v>
      </c>
      <c r="G40" s="57">
        <f t="shared" si="1"/>
        <v>1142.6296</v>
      </c>
      <c r="H40" s="57">
        <v>0</v>
      </c>
      <c r="I40" s="57">
        <f>I38</f>
        <v>-40</v>
      </c>
      <c r="J40" s="58"/>
      <c r="K40" s="60">
        <f t="shared" si="2"/>
        <v>1102.6296</v>
      </c>
      <c r="L40" s="61">
        <f t="shared" si="6"/>
        <v>11372.077999999998</v>
      </c>
    </row>
    <row r="41" spans="1:12">
      <c r="A41" s="62"/>
      <c r="B41" s="62"/>
      <c r="C41" s="62"/>
      <c r="D41" s="62"/>
      <c r="E41" s="63"/>
      <c r="F41" s="63"/>
      <c r="G41" s="63"/>
      <c r="H41" s="63"/>
      <c r="I41" s="63"/>
      <c r="J41" s="63"/>
      <c r="K41" s="64"/>
      <c r="L41" s="65"/>
    </row>
  </sheetData>
  <mergeCells count="1">
    <mergeCell ref="K2:L2"/>
  </mergeCells>
  <pageMargins left="0.31496062992125984" right="0.31496062992125984" top="0.59055118110236227" bottom="0.39370078740157483" header="0.31496062992125984" footer="0.31496062992125984"/>
  <pageSetup paperSize="9" orientation="landscape" r:id="rId1"/>
  <headerFooter>
    <oddFooter xml:space="preserve">&amp;R&amp;9Wirtschaftliche Entwicklung  30 Jahre 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7" workbookViewId="0">
      <selection activeCell="L41" sqref="L41"/>
    </sheetView>
  </sheetViews>
  <sheetFormatPr baseColWidth="10" defaultRowHeight="14.25"/>
  <cols>
    <col min="1" max="1" width="9.25" customWidth="1"/>
    <col min="11" max="11" width="11.25" bestFit="1" customWidth="1"/>
    <col min="12" max="12" width="11" style="12"/>
  </cols>
  <sheetData>
    <row r="1" spans="1:14" s="28" customFormat="1" ht="11.25">
      <c r="A1" s="28" t="s">
        <v>0</v>
      </c>
      <c r="D1" s="29">
        <f>'PV Anlage Eingabe'!C7</f>
        <v>4500</v>
      </c>
      <c r="G1" s="28" t="s">
        <v>38</v>
      </c>
      <c r="J1" s="43"/>
      <c r="K1" s="42"/>
      <c r="L1" s="42" t="str">
        <f>'PV Anlage Eingabe'!C1</f>
        <v>Holzhaus</v>
      </c>
    </row>
    <row r="2" spans="1:14" s="28" customFormat="1" ht="11.25">
      <c r="A2" s="28" t="s">
        <v>1</v>
      </c>
      <c r="D2" s="30">
        <f>'PV Anlage Eingabe'!C8</f>
        <v>5.85</v>
      </c>
      <c r="G2" s="28" t="s">
        <v>39</v>
      </c>
      <c r="K2" s="66">
        <f>'PV Anlage Eingabe'!C3</f>
        <v>43534</v>
      </c>
      <c r="L2" s="66"/>
    </row>
    <row r="3" spans="1:14" s="28" customFormat="1" ht="6" customHeight="1"/>
    <row r="4" spans="1:14" s="28" customFormat="1" ht="11.25">
      <c r="A4" s="28" t="s">
        <v>2</v>
      </c>
      <c r="D4" s="29">
        <f>'PV Anlage Eingabe'!C10</f>
        <v>1</v>
      </c>
    </row>
    <row r="5" spans="1:14" s="28" customFormat="1" ht="11.25">
      <c r="A5" s="28" t="s">
        <v>3</v>
      </c>
      <c r="D5" s="30">
        <f>'PV Anlage Eingabe'!C11</f>
        <v>5.85</v>
      </c>
      <c r="G5" s="31" t="s">
        <v>35</v>
      </c>
      <c r="H5" s="28">
        <f>'PV Anlage Eingabe'!I11</f>
        <v>5500</v>
      </c>
    </row>
    <row r="6" spans="1:14" s="28" customFormat="1" ht="11.25">
      <c r="A6" s="28" t="s">
        <v>4</v>
      </c>
      <c r="D6" s="32">
        <f>'PV Anlage Eingabe'!C12</f>
        <v>5.5</v>
      </c>
      <c r="G6" s="33">
        <f>'PV Anlage Eingabe'!H12</f>
        <v>0.3</v>
      </c>
      <c r="H6" s="28">
        <f>'PV Anlage Eingabe'!I12</f>
        <v>1350</v>
      </c>
      <c r="I6" s="28" t="s">
        <v>7</v>
      </c>
    </row>
    <row r="7" spans="1:14" s="28" customFormat="1" ht="11.25">
      <c r="A7" s="28" t="s">
        <v>5</v>
      </c>
      <c r="D7" s="34">
        <f>'PV Anlage Eingabe'!C13</f>
        <v>75.900000000000006</v>
      </c>
      <c r="G7" s="33">
        <f>'PV Anlage Eingabe'!H13</f>
        <v>0.7</v>
      </c>
      <c r="H7" s="28">
        <f>'PV Anlage Eingabe'!I13</f>
        <v>4150</v>
      </c>
      <c r="I7" s="28" t="s">
        <v>8</v>
      </c>
    </row>
    <row r="8" spans="1:14" ht="5.25" customHeight="1"/>
    <row r="9" spans="1:14" ht="5.25" customHeight="1"/>
    <row r="10" spans="1:14" ht="15">
      <c r="A10" s="5" t="s">
        <v>37</v>
      </c>
      <c r="B10" s="6"/>
      <c r="C10" s="6" t="s">
        <v>33</v>
      </c>
      <c r="D10" s="6"/>
      <c r="E10" s="6"/>
      <c r="F10" s="6"/>
      <c r="G10" s="6"/>
      <c r="H10" s="6"/>
      <c r="I10" s="6"/>
      <c r="J10" s="6"/>
      <c r="K10" s="6"/>
    </row>
    <row r="11" spans="1:14" ht="22.5">
      <c r="A11" t="s">
        <v>41</v>
      </c>
      <c r="B11" s="7" t="s">
        <v>6</v>
      </c>
      <c r="C11" s="7" t="s">
        <v>14</v>
      </c>
      <c r="D11" s="7" t="s">
        <v>15</v>
      </c>
      <c r="E11" s="7" t="s">
        <v>16</v>
      </c>
      <c r="F11" s="7" t="s">
        <v>30</v>
      </c>
      <c r="G11" s="7" t="s">
        <v>18</v>
      </c>
      <c r="H11" s="7" t="s">
        <v>19</v>
      </c>
      <c r="I11" s="7" t="s">
        <v>20</v>
      </c>
      <c r="J11" s="7"/>
      <c r="K11" s="7" t="s">
        <v>48</v>
      </c>
      <c r="L11" s="7" t="s">
        <v>44</v>
      </c>
    </row>
    <row r="12" spans="1:14" s="13" customFormat="1" ht="12.95" customHeight="1">
      <c r="A12" s="13">
        <v>1</v>
      </c>
      <c r="B12" s="13">
        <f>'Wirtschaftlich 30 Jahre'!B11</f>
        <v>5500</v>
      </c>
      <c r="C12" s="13">
        <f>'Wirtschaftlich 30 Jahre'!C11</f>
        <v>1350</v>
      </c>
      <c r="D12" s="13">
        <f t="shared" ref="D12:D41" si="0">B12-C12</f>
        <v>4150</v>
      </c>
      <c r="E12" s="15">
        <f>'Wirtschaftlich 30 Jahre'!E11</f>
        <v>493.85</v>
      </c>
      <c r="F12" s="15">
        <f t="shared" ref="F12:F31" si="1">ROUND(C12*-N12,2)</f>
        <v>267.44</v>
      </c>
      <c r="G12" s="15">
        <f t="shared" ref="G12:G41" si="2">E12+F12</f>
        <v>761.29</v>
      </c>
      <c r="H12" s="15">
        <f>'Wirtschaftlich 30 Jahre'!H11</f>
        <v>-910.80000000000007</v>
      </c>
      <c r="I12" s="15">
        <f>'Wirtschaftlich 30 Jahre'!I11</f>
        <v>-178.5</v>
      </c>
      <c r="J12" s="40"/>
      <c r="K12" s="15">
        <f t="shared" ref="K12:K41" si="3">G12+H12+I12</f>
        <v>-328.0100000000001</v>
      </c>
      <c r="L12" s="22">
        <f>K12</f>
        <v>-328.0100000000001</v>
      </c>
      <c r="M12" s="14">
        <f t="shared" ref="M12:M41" si="4">H12+I12</f>
        <v>-1089.3000000000002</v>
      </c>
      <c r="N12" s="27">
        <f t="shared" ref="N12:N41" si="5">ROUND(M12/B12,4)</f>
        <v>-0.1981</v>
      </c>
    </row>
    <row r="13" spans="1:14" s="13" customFormat="1" ht="12.95" customHeight="1">
      <c r="A13" s="13">
        <f t="shared" ref="A13:A41" si="6">A12+1</f>
        <v>2</v>
      </c>
      <c r="B13" s="13">
        <f>'Wirtschaftlich 30 Jahre'!B12</f>
        <v>5499</v>
      </c>
      <c r="C13" s="13">
        <f t="shared" ref="C13:C41" si="7">C12</f>
        <v>1350</v>
      </c>
      <c r="D13" s="13">
        <f t="shared" si="0"/>
        <v>4149</v>
      </c>
      <c r="E13" s="15">
        <f>'Wirtschaftlich 30 Jahre'!E12</f>
        <v>493.73</v>
      </c>
      <c r="F13" s="15">
        <f t="shared" si="1"/>
        <v>223.56</v>
      </c>
      <c r="G13" s="15">
        <f t="shared" si="2"/>
        <v>717.29</v>
      </c>
      <c r="H13" s="15">
        <f>'Wirtschaftlich 30 Jahre'!H12</f>
        <v>-910.80000000000007</v>
      </c>
      <c r="I13" s="15">
        <f>'Wirtschaftlich 30 Jahre'!I12</f>
        <v>0</v>
      </c>
      <c r="J13" s="40"/>
      <c r="K13" s="15">
        <f t="shared" si="3"/>
        <v>-193.5100000000001</v>
      </c>
      <c r="L13" s="22">
        <f t="shared" ref="L13:L41" si="8">L12+K13</f>
        <v>-521.52000000000021</v>
      </c>
      <c r="M13" s="14">
        <f t="shared" si="4"/>
        <v>-910.80000000000007</v>
      </c>
      <c r="N13" s="27">
        <f t="shared" si="5"/>
        <v>-0.1656</v>
      </c>
    </row>
    <row r="14" spans="1:14" s="13" customFormat="1" ht="12.95" customHeight="1">
      <c r="A14" s="13">
        <f t="shared" si="6"/>
        <v>3</v>
      </c>
      <c r="B14" s="13">
        <f>'Wirtschaftlich 30 Jahre'!B13</f>
        <v>5498</v>
      </c>
      <c r="C14" s="13">
        <f t="shared" si="7"/>
        <v>1350</v>
      </c>
      <c r="D14" s="13">
        <f t="shared" si="0"/>
        <v>4148</v>
      </c>
      <c r="E14" s="15">
        <f>'Wirtschaftlich 30 Jahre'!E13</f>
        <v>493.61</v>
      </c>
      <c r="F14" s="15">
        <f t="shared" si="1"/>
        <v>223.7</v>
      </c>
      <c r="G14" s="15">
        <f t="shared" si="2"/>
        <v>717.31</v>
      </c>
      <c r="H14" s="15">
        <f>'Wirtschaftlich 30 Jahre'!H13</f>
        <v>-910.80000000000007</v>
      </c>
      <c r="I14" s="15">
        <f>'Wirtschaftlich 30 Jahre'!I13</f>
        <v>0</v>
      </c>
      <c r="J14" s="40"/>
      <c r="K14" s="15">
        <f t="shared" si="3"/>
        <v>-193.49000000000012</v>
      </c>
      <c r="L14" s="22">
        <f t="shared" si="8"/>
        <v>-715.01000000000033</v>
      </c>
      <c r="M14" s="14">
        <f t="shared" si="4"/>
        <v>-910.80000000000007</v>
      </c>
      <c r="N14" s="27">
        <f t="shared" si="5"/>
        <v>-0.16569999999999999</v>
      </c>
    </row>
    <row r="15" spans="1:14" s="13" customFormat="1" ht="12.95" customHeight="1">
      <c r="A15" s="13">
        <f t="shared" si="6"/>
        <v>4</v>
      </c>
      <c r="B15" s="13">
        <f>'Wirtschaftlich 30 Jahre'!B14</f>
        <v>5497</v>
      </c>
      <c r="C15" s="13">
        <f t="shared" si="7"/>
        <v>1350</v>
      </c>
      <c r="D15" s="13">
        <f t="shared" si="0"/>
        <v>4147</v>
      </c>
      <c r="E15" s="15">
        <f>'Wirtschaftlich 30 Jahre'!E14</f>
        <v>493.49</v>
      </c>
      <c r="F15" s="15">
        <f t="shared" si="1"/>
        <v>223.7</v>
      </c>
      <c r="G15" s="15">
        <f t="shared" si="2"/>
        <v>717.19</v>
      </c>
      <c r="H15" s="15">
        <f>'Wirtschaftlich 30 Jahre'!H14</f>
        <v>-910.80000000000007</v>
      </c>
      <c r="I15" s="15">
        <f>'Wirtschaftlich 30 Jahre'!I14</f>
        <v>0</v>
      </c>
      <c r="J15" s="40"/>
      <c r="K15" s="15">
        <f t="shared" si="3"/>
        <v>-193.61</v>
      </c>
      <c r="L15" s="22">
        <f t="shared" si="8"/>
        <v>-908.62000000000035</v>
      </c>
      <c r="M15" s="14">
        <f t="shared" si="4"/>
        <v>-910.80000000000007</v>
      </c>
      <c r="N15" s="27">
        <f t="shared" si="5"/>
        <v>-0.16569999999999999</v>
      </c>
    </row>
    <row r="16" spans="1:14" s="13" customFormat="1" ht="12.95" customHeight="1">
      <c r="A16" s="13">
        <f t="shared" si="6"/>
        <v>5</v>
      </c>
      <c r="B16" s="13">
        <f>'Wirtschaftlich 30 Jahre'!B15</f>
        <v>5496</v>
      </c>
      <c r="C16" s="13">
        <f t="shared" si="7"/>
        <v>1350</v>
      </c>
      <c r="D16" s="13">
        <f t="shared" si="0"/>
        <v>4146</v>
      </c>
      <c r="E16" s="15">
        <f>'Wirtschaftlich 30 Jahre'!E15</f>
        <v>493.37</v>
      </c>
      <c r="F16" s="15">
        <f t="shared" si="1"/>
        <v>223.7</v>
      </c>
      <c r="G16" s="15">
        <f t="shared" si="2"/>
        <v>717.06999999999994</v>
      </c>
      <c r="H16" s="15">
        <f>'Wirtschaftlich 30 Jahre'!H15</f>
        <v>-910.80000000000007</v>
      </c>
      <c r="I16" s="15">
        <f>'Wirtschaftlich 30 Jahre'!I15</f>
        <v>0</v>
      </c>
      <c r="J16" s="40"/>
      <c r="K16" s="15">
        <f t="shared" si="3"/>
        <v>-193.73000000000013</v>
      </c>
      <c r="L16" s="22">
        <f t="shared" si="8"/>
        <v>-1102.3500000000004</v>
      </c>
      <c r="M16" s="14">
        <f t="shared" si="4"/>
        <v>-910.80000000000007</v>
      </c>
      <c r="N16" s="27">
        <f t="shared" si="5"/>
        <v>-0.16569999999999999</v>
      </c>
    </row>
    <row r="17" spans="1:14" s="13" customFormat="1" ht="12.95" customHeight="1">
      <c r="A17" s="13">
        <f t="shared" si="6"/>
        <v>6</v>
      </c>
      <c r="B17" s="13">
        <f>'Wirtschaftlich 30 Jahre'!B16</f>
        <v>5495</v>
      </c>
      <c r="C17" s="13">
        <f t="shared" si="7"/>
        <v>1350</v>
      </c>
      <c r="D17" s="13">
        <f t="shared" si="0"/>
        <v>4145</v>
      </c>
      <c r="E17" s="15">
        <f>'Wirtschaftlich 30 Jahre'!E16</f>
        <v>493.26</v>
      </c>
      <c r="F17" s="15">
        <f t="shared" si="1"/>
        <v>223.83</v>
      </c>
      <c r="G17" s="15">
        <f t="shared" si="2"/>
        <v>717.09</v>
      </c>
      <c r="H17" s="15">
        <f>'Wirtschaftlich 30 Jahre'!H16</f>
        <v>-910.80000000000007</v>
      </c>
      <c r="I17" s="15">
        <f>'Wirtschaftlich 30 Jahre'!I16</f>
        <v>0</v>
      </c>
      <c r="J17" s="40"/>
      <c r="K17" s="15">
        <f t="shared" si="3"/>
        <v>-193.71000000000004</v>
      </c>
      <c r="L17" s="22">
        <f t="shared" si="8"/>
        <v>-1296.0600000000004</v>
      </c>
      <c r="M17" s="14">
        <f t="shared" si="4"/>
        <v>-910.80000000000007</v>
      </c>
      <c r="N17" s="27">
        <f t="shared" si="5"/>
        <v>-0.1658</v>
      </c>
    </row>
    <row r="18" spans="1:14" s="13" customFormat="1" ht="12.95" customHeight="1">
      <c r="A18" s="13">
        <f t="shared" si="6"/>
        <v>7</v>
      </c>
      <c r="B18" s="13">
        <f>'Wirtschaftlich 30 Jahre'!B17</f>
        <v>5494</v>
      </c>
      <c r="C18" s="13">
        <f t="shared" si="7"/>
        <v>1350</v>
      </c>
      <c r="D18" s="13">
        <f t="shared" si="0"/>
        <v>4144</v>
      </c>
      <c r="E18" s="15">
        <f>'Wirtschaftlich 30 Jahre'!E17</f>
        <v>493.14</v>
      </c>
      <c r="F18" s="15">
        <f t="shared" si="1"/>
        <v>223.83</v>
      </c>
      <c r="G18" s="15">
        <f t="shared" si="2"/>
        <v>716.97</v>
      </c>
      <c r="H18" s="15">
        <f>'Wirtschaftlich 30 Jahre'!H17</f>
        <v>-910.80000000000007</v>
      </c>
      <c r="I18" s="15">
        <f>'Wirtschaftlich 30 Jahre'!I17</f>
        <v>0</v>
      </c>
      <c r="J18" s="40"/>
      <c r="K18" s="15">
        <f t="shared" si="3"/>
        <v>-193.83000000000004</v>
      </c>
      <c r="L18" s="22">
        <f t="shared" si="8"/>
        <v>-1489.8900000000003</v>
      </c>
      <c r="M18" s="14">
        <f t="shared" si="4"/>
        <v>-910.80000000000007</v>
      </c>
      <c r="N18" s="27">
        <f t="shared" si="5"/>
        <v>-0.1658</v>
      </c>
    </row>
    <row r="19" spans="1:14" s="13" customFormat="1" ht="12.95" customHeight="1">
      <c r="A19" s="13">
        <f t="shared" si="6"/>
        <v>8</v>
      </c>
      <c r="B19" s="13">
        <f>'Wirtschaftlich 30 Jahre'!B18</f>
        <v>5493</v>
      </c>
      <c r="C19" s="13">
        <f t="shared" si="7"/>
        <v>1350</v>
      </c>
      <c r="D19" s="13">
        <f t="shared" si="0"/>
        <v>4143</v>
      </c>
      <c r="E19" s="15">
        <f>'Wirtschaftlich 30 Jahre'!E18</f>
        <v>493.02</v>
      </c>
      <c r="F19" s="15">
        <f t="shared" si="1"/>
        <v>223.83</v>
      </c>
      <c r="G19" s="15">
        <f t="shared" si="2"/>
        <v>716.85</v>
      </c>
      <c r="H19" s="15">
        <f>'Wirtschaftlich 30 Jahre'!H18</f>
        <v>-910.80000000000007</v>
      </c>
      <c r="I19" s="15">
        <f>'Wirtschaftlich 30 Jahre'!I18</f>
        <v>0</v>
      </c>
      <c r="J19" s="40"/>
      <c r="K19" s="15">
        <f t="shared" si="3"/>
        <v>-193.95000000000005</v>
      </c>
      <c r="L19" s="22">
        <f t="shared" si="8"/>
        <v>-1683.8400000000004</v>
      </c>
      <c r="M19" s="14">
        <f t="shared" si="4"/>
        <v>-910.80000000000007</v>
      </c>
      <c r="N19" s="27">
        <f t="shared" si="5"/>
        <v>-0.1658</v>
      </c>
    </row>
    <row r="20" spans="1:14" s="13" customFormat="1" ht="12.95" customHeight="1">
      <c r="A20" s="13">
        <f t="shared" si="6"/>
        <v>9</v>
      </c>
      <c r="B20" s="13">
        <f>'Wirtschaftlich 30 Jahre'!B19</f>
        <v>5492</v>
      </c>
      <c r="C20" s="13">
        <f t="shared" si="7"/>
        <v>1350</v>
      </c>
      <c r="D20" s="13">
        <f t="shared" si="0"/>
        <v>4142</v>
      </c>
      <c r="E20" s="15">
        <f>'Wirtschaftlich 30 Jahre'!E19</f>
        <v>492.9</v>
      </c>
      <c r="F20" s="15">
        <f t="shared" si="1"/>
        <v>223.83</v>
      </c>
      <c r="G20" s="15">
        <f t="shared" si="2"/>
        <v>716.73</v>
      </c>
      <c r="H20" s="15">
        <f>'Wirtschaftlich 30 Jahre'!H19</f>
        <v>-910.80000000000007</v>
      </c>
      <c r="I20" s="15">
        <f>'Wirtschaftlich 30 Jahre'!I19</f>
        <v>0</v>
      </c>
      <c r="J20" s="40"/>
      <c r="K20" s="15">
        <f t="shared" si="3"/>
        <v>-194.07000000000005</v>
      </c>
      <c r="L20" s="22">
        <f t="shared" si="8"/>
        <v>-1877.9100000000003</v>
      </c>
      <c r="M20" s="14">
        <f t="shared" si="4"/>
        <v>-910.80000000000007</v>
      </c>
      <c r="N20" s="27">
        <f t="shared" si="5"/>
        <v>-0.1658</v>
      </c>
    </row>
    <row r="21" spans="1:14" s="13" customFormat="1" ht="12.95" customHeight="1">
      <c r="A21" s="13">
        <f t="shared" si="6"/>
        <v>10</v>
      </c>
      <c r="B21" s="13">
        <f>'Wirtschaftlich 30 Jahre'!B20</f>
        <v>5491</v>
      </c>
      <c r="C21" s="13">
        <f t="shared" si="7"/>
        <v>1350</v>
      </c>
      <c r="D21" s="13">
        <f t="shared" si="0"/>
        <v>4141</v>
      </c>
      <c r="E21" s="15">
        <f>'Wirtschaftlich 30 Jahre'!E20</f>
        <v>492.78</v>
      </c>
      <c r="F21" s="15">
        <f t="shared" si="1"/>
        <v>223.97</v>
      </c>
      <c r="G21" s="15">
        <f t="shared" si="2"/>
        <v>716.75</v>
      </c>
      <c r="H21" s="15">
        <f>'Wirtschaftlich 30 Jahre'!H20</f>
        <v>-910.80000000000007</v>
      </c>
      <c r="I21" s="15">
        <f>'Wirtschaftlich 30 Jahre'!I20</f>
        <v>0</v>
      </c>
      <c r="J21" s="40"/>
      <c r="K21" s="15">
        <f t="shared" si="3"/>
        <v>-194.05000000000007</v>
      </c>
      <c r="L21" s="22">
        <f t="shared" si="8"/>
        <v>-2071.9600000000005</v>
      </c>
      <c r="M21" s="14">
        <f t="shared" si="4"/>
        <v>-910.80000000000007</v>
      </c>
      <c r="N21" s="27">
        <f t="shared" si="5"/>
        <v>-0.16589999999999999</v>
      </c>
    </row>
    <row r="22" spans="1:14" s="13" customFormat="1" ht="12.95" customHeight="1">
      <c r="A22" s="13">
        <f t="shared" si="6"/>
        <v>11</v>
      </c>
      <c r="B22" s="13">
        <f>'Wirtschaftlich 30 Jahre'!B21</f>
        <v>5490</v>
      </c>
      <c r="C22" s="13">
        <f t="shared" si="7"/>
        <v>1350</v>
      </c>
      <c r="D22" s="13">
        <f t="shared" si="0"/>
        <v>4140</v>
      </c>
      <c r="E22" s="15">
        <f>'Wirtschaftlich 30 Jahre'!E21</f>
        <v>492.66</v>
      </c>
      <c r="F22" s="15">
        <f t="shared" si="1"/>
        <v>223.97</v>
      </c>
      <c r="G22" s="15">
        <f t="shared" si="2"/>
        <v>716.63</v>
      </c>
      <c r="H22" s="15">
        <f>'Wirtschaftlich 30 Jahre'!H21</f>
        <v>-910.80000000000007</v>
      </c>
      <c r="I22" s="15">
        <f>'Wirtschaftlich 30 Jahre'!I21</f>
        <v>0</v>
      </c>
      <c r="J22" s="40"/>
      <c r="K22" s="15">
        <f t="shared" si="3"/>
        <v>-194.17000000000007</v>
      </c>
      <c r="L22" s="22">
        <f t="shared" si="8"/>
        <v>-2266.1300000000006</v>
      </c>
      <c r="M22" s="14">
        <f t="shared" si="4"/>
        <v>-910.80000000000007</v>
      </c>
      <c r="N22" s="27">
        <f t="shared" si="5"/>
        <v>-0.16589999999999999</v>
      </c>
    </row>
    <row r="23" spans="1:14" s="13" customFormat="1" ht="12.95" customHeight="1">
      <c r="A23" s="13">
        <f t="shared" si="6"/>
        <v>12</v>
      </c>
      <c r="B23" s="13">
        <f>'Wirtschaftlich 30 Jahre'!B22</f>
        <v>5489</v>
      </c>
      <c r="C23" s="13">
        <f t="shared" si="7"/>
        <v>1350</v>
      </c>
      <c r="D23" s="13">
        <f t="shared" si="0"/>
        <v>4139</v>
      </c>
      <c r="E23" s="15">
        <f>'Wirtschaftlich 30 Jahre'!E22</f>
        <v>492.54</v>
      </c>
      <c r="F23" s="15">
        <f t="shared" si="1"/>
        <v>223.97</v>
      </c>
      <c r="G23" s="15">
        <f t="shared" si="2"/>
        <v>716.51</v>
      </c>
      <c r="H23" s="15">
        <f>'Wirtschaftlich 30 Jahre'!H22</f>
        <v>-910.80000000000007</v>
      </c>
      <c r="I23" s="15">
        <f>'Wirtschaftlich 30 Jahre'!I22</f>
        <v>0</v>
      </c>
      <c r="J23" s="40"/>
      <c r="K23" s="15">
        <f t="shared" si="3"/>
        <v>-194.29000000000008</v>
      </c>
      <c r="L23" s="22">
        <f t="shared" si="8"/>
        <v>-2460.4200000000005</v>
      </c>
      <c r="M23" s="14">
        <f t="shared" si="4"/>
        <v>-910.80000000000007</v>
      </c>
      <c r="N23" s="27">
        <f t="shared" si="5"/>
        <v>-0.16589999999999999</v>
      </c>
    </row>
    <row r="24" spans="1:14" s="13" customFormat="1" ht="12.95" customHeight="1">
      <c r="A24" s="13">
        <f t="shared" si="6"/>
        <v>13</v>
      </c>
      <c r="B24" s="13">
        <f>'Wirtschaftlich 30 Jahre'!B23</f>
        <v>5488</v>
      </c>
      <c r="C24" s="13">
        <f t="shared" si="7"/>
        <v>1350</v>
      </c>
      <c r="D24" s="13">
        <f t="shared" si="0"/>
        <v>4138</v>
      </c>
      <c r="E24" s="15">
        <f>'Wirtschaftlich 30 Jahre'!E23</f>
        <v>492.42</v>
      </c>
      <c r="F24" s="15">
        <f t="shared" si="1"/>
        <v>224.1</v>
      </c>
      <c r="G24" s="15">
        <f t="shared" si="2"/>
        <v>716.52</v>
      </c>
      <c r="H24" s="15">
        <f>'Wirtschaftlich 30 Jahre'!H23</f>
        <v>-910.80000000000007</v>
      </c>
      <c r="I24" s="15">
        <f>'Wirtschaftlich 30 Jahre'!I23</f>
        <v>0</v>
      </c>
      <c r="J24" s="40"/>
      <c r="K24" s="15">
        <f t="shared" si="3"/>
        <v>-194.28000000000009</v>
      </c>
      <c r="L24" s="22">
        <f t="shared" si="8"/>
        <v>-2654.7000000000007</v>
      </c>
      <c r="M24" s="14">
        <f t="shared" si="4"/>
        <v>-910.80000000000007</v>
      </c>
      <c r="N24" s="27">
        <f t="shared" si="5"/>
        <v>-0.16600000000000001</v>
      </c>
    </row>
    <row r="25" spans="1:14" s="13" customFormat="1" ht="12.95" customHeight="1">
      <c r="A25" s="13">
        <f t="shared" si="6"/>
        <v>14</v>
      </c>
      <c r="B25" s="13">
        <f>'Wirtschaftlich 30 Jahre'!B24</f>
        <v>5487</v>
      </c>
      <c r="C25" s="13">
        <f t="shared" si="7"/>
        <v>1350</v>
      </c>
      <c r="D25" s="13">
        <f t="shared" si="0"/>
        <v>4137</v>
      </c>
      <c r="E25" s="15">
        <f>'Wirtschaftlich 30 Jahre'!E24</f>
        <v>492.3</v>
      </c>
      <c r="F25" s="15">
        <f t="shared" si="1"/>
        <v>224.1</v>
      </c>
      <c r="G25" s="15">
        <f t="shared" si="2"/>
        <v>716.4</v>
      </c>
      <c r="H25" s="15">
        <f>'Wirtschaftlich 30 Jahre'!H24</f>
        <v>-910.80000000000007</v>
      </c>
      <c r="I25" s="15">
        <f>'Wirtschaftlich 30 Jahre'!I24</f>
        <v>0</v>
      </c>
      <c r="J25" s="40"/>
      <c r="K25" s="15">
        <f t="shared" si="3"/>
        <v>-194.40000000000009</v>
      </c>
      <c r="L25" s="22">
        <f t="shared" si="8"/>
        <v>-2849.1000000000008</v>
      </c>
      <c r="M25" s="14">
        <f t="shared" si="4"/>
        <v>-910.80000000000007</v>
      </c>
      <c r="N25" s="27">
        <f t="shared" si="5"/>
        <v>-0.16600000000000001</v>
      </c>
    </row>
    <row r="26" spans="1:14" s="13" customFormat="1" ht="12.95" customHeight="1">
      <c r="A26" s="13">
        <f t="shared" si="6"/>
        <v>15</v>
      </c>
      <c r="B26" s="13">
        <f>'Wirtschaftlich 30 Jahre'!B25</f>
        <v>5486</v>
      </c>
      <c r="C26" s="13">
        <f t="shared" si="7"/>
        <v>1350</v>
      </c>
      <c r="D26" s="13">
        <f t="shared" si="0"/>
        <v>4136</v>
      </c>
      <c r="E26" s="15">
        <f>'Wirtschaftlich 30 Jahre'!E25</f>
        <v>492.18</v>
      </c>
      <c r="F26" s="15">
        <f t="shared" si="1"/>
        <v>224.1</v>
      </c>
      <c r="G26" s="15">
        <f t="shared" si="2"/>
        <v>716.28</v>
      </c>
      <c r="H26" s="15">
        <f>'Wirtschaftlich 30 Jahre'!H25</f>
        <v>-910.80000000000007</v>
      </c>
      <c r="I26" s="15">
        <f>'Wirtschaftlich 30 Jahre'!I25</f>
        <v>0</v>
      </c>
      <c r="J26" s="40"/>
      <c r="K26" s="15">
        <f t="shared" si="3"/>
        <v>-194.5200000000001</v>
      </c>
      <c r="L26" s="22">
        <f t="shared" si="8"/>
        <v>-3043.6200000000008</v>
      </c>
      <c r="M26" s="14">
        <f t="shared" si="4"/>
        <v>-910.80000000000007</v>
      </c>
      <c r="N26" s="27">
        <f t="shared" si="5"/>
        <v>-0.16600000000000001</v>
      </c>
    </row>
    <row r="27" spans="1:14" s="13" customFormat="1" ht="12.95" customHeight="1">
      <c r="A27" s="13">
        <f t="shared" si="6"/>
        <v>16</v>
      </c>
      <c r="B27" s="13">
        <f>'Wirtschaftlich 30 Jahre'!B26</f>
        <v>5485</v>
      </c>
      <c r="C27" s="13">
        <f t="shared" si="7"/>
        <v>1350</v>
      </c>
      <c r="D27" s="13">
        <f t="shared" si="0"/>
        <v>4135</v>
      </c>
      <c r="E27" s="15">
        <f>'Wirtschaftlich 30 Jahre'!E26</f>
        <v>492.07</v>
      </c>
      <c r="F27" s="15">
        <f t="shared" si="1"/>
        <v>224.24</v>
      </c>
      <c r="G27" s="15">
        <f t="shared" si="2"/>
        <v>716.31</v>
      </c>
      <c r="H27" s="15">
        <f>'Wirtschaftlich 30 Jahre'!H26</f>
        <v>-910.80000000000007</v>
      </c>
      <c r="I27" s="15">
        <f>'Wirtschaftlich 30 Jahre'!I26</f>
        <v>0</v>
      </c>
      <c r="J27" s="40"/>
      <c r="K27" s="15">
        <f t="shared" si="3"/>
        <v>-194.49000000000012</v>
      </c>
      <c r="L27" s="22">
        <f t="shared" si="8"/>
        <v>-3238.110000000001</v>
      </c>
      <c r="M27" s="14">
        <f t="shared" si="4"/>
        <v>-910.80000000000007</v>
      </c>
      <c r="N27" s="27">
        <f t="shared" si="5"/>
        <v>-0.1661</v>
      </c>
    </row>
    <row r="28" spans="1:14" s="13" customFormat="1" ht="12.95" customHeight="1">
      <c r="A28" s="13">
        <f t="shared" si="6"/>
        <v>17</v>
      </c>
      <c r="B28" s="13">
        <f>'Wirtschaftlich 30 Jahre'!B27</f>
        <v>5484</v>
      </c>
      <c r="C28" s="13">
        <f t="shared" si="7"/>
        <v>1350</v>
      </c>
      <c r="D28" s="13">
        <f t="shared" si="0"/>
        <v>4134</v>
      </c>
      <c r="E28" s="15">
        <f>'Wirtschaftlich 30 Jahre'!E27</f>
        <v>491.95</v>
      </c>
      <c r="F28" s="15">
        <f t="shared" si="1"/>
        <v>224.24</v>
      </c>
      <c r="G28" s="15">
        <f t="shared" si="2"/>
        <v>716.19</v>
      </c>
      <c r="H28" s="15">
        <f>'Wirtschaftlich 30 Jahre'!H27</f>
        <v>-910.80000000000007</v>
      </c>
      <c r="I28" s="15">
        <f>'Wirtschaftlich 30 Jahre'!I27</f>
        <v>0</v>
      </c>
      <c r="J28" s="40"/>
      <c r="K28" s="15">
        <f t="shared" si="3"/>
        <v>-194.61</v>
      </c>
      <c r="L28" s="22">
        <f t="shared" si="8"/>
        <v>-3432.7200000000012</v>
      </c>
      <c r="M28" s="14">
        <f t="shared" si="4"/>
        <v>-910.80000000000007</v>
      </c>
      <c r="N28" s="27">
        <f t="shared" si="5"/>
        <v>-0.1661</v>
      </c>
    </row>
    <row r="29" spans="1:14" s="13" customFormat="1" ht="12.95" customHeight="1">
      <c r="A29" s="13">
        <f t="shared" si="6"/>
        <v>18</v>
      </c>
      <c r="B29" s="13">
        <f>'Wirtschaftlich 30 Jahre'!B28</f>
        <v>5483</v>
      </c>
      <c r="C29" s="13">
        <f t="shared" si="7"/>
        <v>1350</v>
      </c>
      <c r="D29" s="13">
        <f t="shared" si="0"/>
        <v>4133</v>
      </c>
      <c r="E29" s="15">
        <f>'Wirtschaftlich 30 Jahre'!E28</f>
        <v>491.83</v>
      </c>
      <c r="F29" s="15">
        <f t="shared" si="1"/>
        <v>224.24</v>
      </c>
      <c r="G29" s="15">
        <f t="shared" si="2"/>
        <v>716.06999999999994</v>
      </c>
      <c r="H29" s="15">
        <f>'Wirtschaftlich 30 Jahre'!H28</f>
        <v>-910.80000000000007</v>
      </c>
      <c r="I29" s="15">
        <f>'Wirtschaftlich 30 Jahre'!I28</f>
        <v>0</v>
      </c>
      <c r="J29" s="40"/>
      <c r="K29" s="15">
        <f t="shared" si="3"/>
        <v>-194.73000000000013</v>
      </c>
      <c r="L29" s="22">
        <f t="shared" si="8"/>
        <v>-3627.4500000000012</v>
      </c>
      <c r="M29" s="14">
        <f t="shared" si="4"/>
        <v>-910.80000000000007</v>
      </c>
      <c r="N29" s="27">
        <f t="shared" si="5"/>
        <v>-0.1661</v>
      </c>
    </row>
    <row r="30" spans="1:14" s="44" customFormat="1" ht="17.25" customHeight="1">
      <c r="A30" s="47">
        <f t="shared" si="6"/>
        <v>19</v>
      </c>
      <c r="B30" s="47">
        <f>'Wirtschaftlich 30 Jahre'!B29</f>
        <v>5482</v>
      </c>
      <c r="C30" s="47">
        <f t="shared" si="7"/>
        <v>1350</v>
      </c>
      <c r="D30" s="47">
        <f t="shared" si="0"/>
        <v>4132</v>
      </c>
      <c r="E30" s="48">
        <f>'Wirtschaftlich 30 Jahre'!E29</f>
        <v>491.71</v>
      </c>
      <c r="F30" s="48">
        <f t="shared" si="1"/>
        <v>133.25</v>
      </c>
      <c r="G30" s="48">
        <f t="shared" si="2"/>
        <v>624.96</v>
      </c>
      <c r="H30" s="48">
        <f>'Wirtschaftlich 30 Jahre'!H29</f>
        <v>-1</v>
      </c>
      <c r="I30" s="48">
        <f>'Wirtschaftlich 30 Jahre'!I29</f>
        <v>-540</v>
      </c>
      <c r="J30" s="50" t="s">
        <v>53</v>
      </c>
      <c r="K30" s="48">
        <f t="shared" si="3"/>
        <v>83.960000000000036</v>
      </c>
      <c r="L30" s="49">
        <f t="shared" si="8"/>
        <v>-3543.4900000000011</v>
      </c>
      <c r="M30" s="45">
        <f t="shared" si="4"/>
        <v>-541</v>
      </c>
      <c r="N30" s="46">
        <f t="shared" si="5"/>
        <v>-9.8699999999999996E-2</v>
      </c>
    </row>
    <row r="31" spans="1:14" s="13" customFormat="1" ht="12.95" customHeight="1">
      <c r="A31" s="13">
        <f t="shared" si="6"/>
        <v>20</v>
      </c>
      <c r="B31" s="13">
        <f>'Wirtschaftlich 30 Jahre'!B30</f>
        <v>5481</v>
      </c>
      <c r="C31" s="13">
        <f t="shared" si="7"/>
        <v>1350</v>
      </c>
      <c r="D31" s="13">
        <f t="shared" si="0"/>
        <v>4131</v>
      </c>
      <c r="E31" s="15">
        <f>'Wirtschaftlich 30 Jahre'!E30</f>
        <v>491.59</v>
      </c>
      <c r="F31" s="15">
        <f t="shared" si="1"/>
        <v>9.86</v>
      </c>
      <c r="G31" s="15">
        <f t="shared" si="2"/>
        <v>501.45</v>
      </c>
      <c r="H31" s="15">
        <f>'Wirtschaftlich 30 Jahre'!H30</f>
        <v>0</v>
      </c>
      <c r="I31" s="15">
        <f>'Wirtschaftlich 30 Jahre'!I30</f>
        <v>-40</v>
      </c>
      <c r="J31" s="40"/>
      <c r="K31" s="15">
        <f t="shared" si="3"/>
        <v>461.45</v>
      </c>
      <c r="L31" s="22">
        <f t="shared" si="8"/>
        <v>-3082.0400000000013</v>
      </c>
      <c r="M31" s="14">
        <f t="shared" si="4"/>
        <v>-40</v>
      </c>
      <c r="N31" s="27">
        <f t="shared" si="5"/>
        <v>-7.3000000000000001E-3</v>
      </c>
    </row>
    <row r="32" spans="1:14" s="13" customFormat="1" ht="12.95" customHeight="1">
      <c r="A32" s="13">
        <f t="shared" si="6"/>
        <v>21</v>
      </c>
      <c r="B32" s="13">
        <f>ROUND(B31*(1-'PV Anlage Eingabe'!$E$20),0)</f>
        <v>5480</v>
      </c>
      <c r="C32" s="13">
        <f t="shared" si="7"/>
        <v>1350</v>
      </c>
      <c r="D32" s="13">
        <f t="shared" si="0"/>
        <v>4130</v>
      </c>
      <c r="E32" s="15">
        <f>'Wirtschaftlich 30 Jahre'!E31</f>
        <v>196.58800000000002</v>
      </c>
      <c r="F32" s="15">
        <f>ROUND(F31*(1+'PV Anlage Eingabe'!$J$18),2)</f>
        <v>10.16</v>
      </c>
      <c r="G32" s="15">
        <f t="shared" si="2"/>
        <v>206.74800000000002</v>
      </c>
      <c r="H32" s="15">
        <v>0</v>
      </c>
      <c r="I32" s="15">
        <f>'Wirtschaftlich 30 Jahre'!I31</f>
        <v>-1040</v>
      </c>
      <c r="J32" s="40" t="s">
        <v>51</v>
      </c>
      <c r="K32" s="23">
        <f t="shared" si="3"/>
        <v>-833.25199999999995</v>
      </c>
      <c r="L32" s="22">
        <f t="shared" si="8"/>
        <v>-3915.2920000000013</v>
      </c>
      <c r="M32" s="14">
        <f t="shared" si="4"/>
        <v>-1040</v>
      </c>
      <c r="N32" s="27">
        <f t="shared" si="5"/>
        <v>-0.1898</v>
      </c>
    </row>
    <row r="33" spans="1:14" s="13" customFormat="1" ht="12.95" customHeight="1">
      <c r="A33" s="13">
        <f t="shared" si="6"/>
        <v>22</v>
      </c>
      <c r="B33" s="13">
        <f>ROUND(B32*(1-'PV Anlage Eingabe'!$E$20),0)</f>
        <v>5479</v>
      </c>
      <c r="C33" s="13">
        <f t="shared" si="7"/>
        <v>1350</v>
      </c>
      <c r="D33" s="13">
        <f t="shared" si="0"/>
        <v>4129</v>
      </c>
      <c r="E33" s="15">
        <f>'Wirtschaftlich 30 Jahre'!E32</f>
        <v>196.54039999999998</v>
      </c>
      <c r="F33" s="15">
        <f>ROUND(F32*(1+'PV Anlage Eingabe'!$J$18),2)</f>
        <v>10.46</v>
      </c>
      <c r="G33" s="15">
        <f t="shared" si="2"/>
        <v>207.00039999999998</v>
      </c>
      <c r="H33" s="15">
        <v>0</v>
      </c>
      <c r="I33" s="15">
        <f>'Wirtschaftlich 30 Jahre'!I32</f>
        <v>-40</v>
      </c>
      <c r="J33" s="40"/>
      <c r="K33" s="23">
        <f t="shared" si="3"/>
        <v>167.00039999999998</v>
      </c>
      <c r="L33" s="22">
        <f t="shared" si="8"/>
        <v>-3748.2916000000014</v>
      </c>
      <c r="M33" s="14">
        <f t="shared" si="4"/>
        <v>-40</v>
      </c>
      <c r="N33" s="27">
        <f t="shared" si="5"/>
        <v>-7.3000000000000001E-3</v>
      </c>
    </row>
    <row r="34" spans="1:14" s="13" customFormat="1" ht="12.95" customHeight="1">
      <c r="A34" s="13">
        <f t="shared" si="6"/>
        <v>23</v>
      </c>
      <c r="B34" s="13">
        <f>ROUND(B33*(1-'PV Anlage Eingabe'!$E$20),0)</f>
        <v>5478</v>
      </c>
      <c r="C34" s="13">
        <f t="shared" si="7"/>
        <v>1350</v>
      </c>
      <c r="D34" s="13">
        <f t="shared" si="0"/>
        <v>4128</v>
      </c>
      <c r="E34" s="15">
        <f>'Wirtschaftlich 30 Jahre'!E33</f>
        <v>196.49279999999999</v>
      </c>
      <c r="F34" s="15">
        <f>ROUND(F33*(1+'PV Anlage Eingabe'!$J$18),2)</f>
        <v>10.77</v>
      </c>
      <c r="G34" s="15">
        <f t="shared" si="2"/>
        <v>207.2628</v>
      </c>
      <c r="H34" s="15">
        <v>0</v>
      </c>
      <c r="I34" s="15">
        <f>'Wirtschaftlich 30 Jahre'!I33</f>
        <v>-40</v>
      </c>
      <c r="J34" s="40"/>
      <c r="K34" s="23">
        <f t="shared" si="3"/>
        <v>167.2628</v>
      </c>
      <c r="L34" s="22">
        <f t="shared" si="8"/>
        <v>-3581.0288000000014</v>
      </c>
      <c r="M34" s="14">
        <f t="shared" si="4"/>
        <v>-40</v>
      </c>
      <c r="N34" s="27">
        <f t="shared" si="5"/>
        <v>-7.3000000000000001E-3</v>
      </c>
    </row>
    <row r="35" spans="1:14" s="13" customFormat="1" ht="12.95" customHeight="1">
      <c r="A35" s="13">
        <f t="shared" si="6"/>
        <v>24</v>
      </c>
      <c r="B35" s="13">
        <f>ROUND(B34*(1-'PV Anlage Eingabe'!$E$20),0)</f>
        <v>5477</v>
      </c>
      <c r="C35" s="13">
        <f t="shared" si="7"/>
        <v>1350</v>
      </c>
      <c r="D35" s="13">
        <f t="shared" si="0"/>
        <v>4127</v>
      </c>
      <c r="E35" s="15">
        <f>'Wirtschaftlich 30 Jahre'!E34</f>
        <v>196.4452</v>
      </c>
      <c r="F35" s="15">
        <f>ROUND(F34*(1+'PV Anlage Eingabe'!$J$18),2)</f>
        <v>11.09</v>
      </c>
      <c r="G35" s="15">
        <f t="shared" si="2"/>
        <v>207.5352</v>
      </c>
      <c r="H35" s="15">
        <v>0</v>
      </c>
      <c r="I35" s="15">
        <f>'Wirtschaftlich 30 Jahre'!I34</f>
        <v>-540</v>
      </c>
      <c r="J35" s="40" t="s">
        <v>52</v>
      </c>
      <c r="K35" s="23">
        <f t="shared" si="3"/>
        <v>-332.46479999999997</v>
      </c>
      <c r="L35" s="22">
        <f t="shared" si="8"/>
        <v>-3913.4936000000016</v>
      </c>
      <c r="M35" s="14">
        <f t="shared" si="4"/>
        <v>-540</v>
      </c>
      <c r="N35" s="27">
        <f t="shared" si="5"/>
        <v>-9.8599999999999993E-2</v>
      </c>
    </row>
    <row r="36" spans="1:14" s="13" customFormat="1" ht="12.95" customHeight="1">
      <c r="A36" s="13">
        <f t="shared" si="6"/>
        <v>25</v>
      </c>
      <c r="B36" s="13">
        <f>ROUND(B35*(1-'PV Anlage Eingabe'!$E$20),0)</f>
        <v>5476</v>
      </c>
      <c r="C36" s="13">
        <f t="shared" si="7"/>
        <v>1350</v>
      </c>
      <c r="D36" s="13">
        <f t="shared" si="0"/>
        <v>4126</v>
      </c>
      <c r="E36" s="15">
        <f>'Wirtschaftlich 30 Jahre'!E35</f>
        <v>196.39759999999998</v>
      </c>
      <c r="F36" s="15">
        <f>ROUND(F35*(1+'PV Anlage Eingabe'!$J$18),2)</f>
        <v>11.42</v>
      </c>
      <c r="G36" s="15">
        <f t="shared" si="2"/>
        <v>207.81759999999997</v>
      </c>
      <c r="H36" s="15">
        <v>0</v>
      </c>
      <c r="I36" s="15">
        <f>'Wirtschaftlich 30 Jahre'!I35</f>
        <v>-40</v>
      </c>
      <c r="J36" s="40"/>
      <c r="K36" s="23">
        <f t="shared" si="3"/>
        <v>167.81759999999997</v>
      </c>
      <c r="L36" s="22">
        <f t="shared" si="8"/>
        <v>-3745.6760000000017</v>
      </c>
      <c r="M36" s="14">
        <f t="shared" si="4"/>
        <v>-40</v>
      </c>
      <c r="N36" s="27">
        <f t="shared" si="5"/>
        <v>-7.3000000000000001E-3</v>
      </c>
    </row>
    <row r="37" spans="1:14" s="13" customFormat="1" ht="12.95" customHeight="1">
      <c r="A37" s="13">
        <f t="shared" si="6"/>
        <v>26</v>
      </c>
      <c r="B37" s="13">
        <f>ROUND(B36*(1-'PV Anlage Eingabe'!$E$20),0)</f>
        <v>5475</v>
      </c>
      <c r="C37" s="13">
        <f t="shared" si="7"/>
        <v>1350</v>
      </c>
      <c r="D37" s="13">
        <f t="shared" si="0"/>
        <v>4125</v>
      </c>
      <c r="E37" s="15">
        <f>'Wirtschaftlich 30 Jahre'!E36</f>
        <v>196.35</v>
      </c>
      <c r="F37" s="15">
        <f>ROUND(F36*(1+'PV Anlage Eingabe'!$J$18),2)</f>
        <v>11.76</v>
      </c>
      <c r="G37" s="15">
        <f t="shared" si="2"/>
        <v>208.10999999999999</v>
      </c>
      <c r="H37" s="15">
        <v>0</v>
      </c>
      <c r="I37" s="15">
        <f>'Wirtschaftlich 30 Jahre'!I36</f>
        <v>-40</v>
      </c>
      <c r="J37" s="40"/>
      <c r="K37" s="23">
        <f t="shared" si="3"/>
        <v>168.10999999999999</v>
      </c>
      <c r="L37" s="22">
        <f t="shared" si="8"/>
        <v>-3577.5660000000016</v>
      </c>
      <c r="M37" s="14">
        <f t="shared" si="4"/>
        <v>-40</v>
      </c>
      <c r="N37" s="27">
        <f t="shared" si="5"/>
        <v>-7.3000000000000001E-3</v>
      </c>
    </row>
    <row r="38" spans="1:14" s="13" customFormat="1" ht="12.95" customHeight="1">
      <c r="A38" s="13">
        <f t="shared" si="6"/>
        <v>27</v>
      </c>
      <c r="B38" s="13">
        <f>ROUND(B37*(1-'PV Anlage Eingabe'!$E$20),0)</f>
        <v>5474</v>
      </c>
      <c r="C38" s="13">
        <f t="shared" si="7"/>
        <v>1350</v>
      </c>
      <c r="D38" s="13">
        <f t="shared" si="0"/>
        <v>4124</v>
      </c>
      <c r="E38" s="15">
        <f>'Wirtschaftlich 30 Jahre'!E37</f>
        <v>196.30240000000001</v>
      </c>
      <c r="F38" s="15">
        <f>ROUND(F37*(1+'PV Anlage Eingabe'!$J$18),2)</f>
        <v>12.11</v>
      </c>
      <c r="G38" s="15">
        <f t="shared" si="2"/>
        <v>208.41239999999999</v>
      </c>
      <c r="H38" s="15">
        <v>0</v>
      </c>
      <c r="I38" s="15">
        <f>'Wirtschaftlich 30 Jahre'!I37</f>
        <v>-40</v>
      </c>
      <c r="J38" s="40"/>
      <c r="K38" s="23">
        <f t="shared" si="3"/>
        <v>168.41239999999999</v>
      </c>
      <c r="L38" s="22">
        <f t="shared" si="8"/>
        <v>-3409.1536000000015</v>
      </c>
      <c r="M38" s="14">
        <f t="shared" si="4"/>
        <v>-40</v>
      </c>
      <c r="N38" s="27">
        <f t="shared" si="5"/>
        <v>-7.3000000000000001E-3</v>
      </c>
    </row>
    <row r="39" spans="1:14" s="13" customFormat="1" ht="12.95" customHeight="1">
      <c r="A39" s="13">
        <f t="shared" si="6"/>
        <v>28</v>
      </c>
      <c r="B39" s="13">
        <f>ROUND(B38*(1-'PV Anlage Eingabe'!$E$20),0)</f>
        <v>5473</v>
      </c>
      <c r="C39" s="13">
        <f t="shared" si="7"/>
        <v>1350</v>
      </c>
      <c r="D39" s="13">
        <f t="shared" si="0"/>
        <v>4123</v>
      </c>
      <c r="E39" s="15">
        <f>'Wirtschaftlich 30 Jahre'!E38</f>
        <v>196.25480000000002</v>
      </c>
      <c r="F39" s="15">
        <f>ROUND(F38*(1+'PV Anlage Eingabe'!$J$18),2)</f>
        <v>12.47</v>
      </c>
      <c r="G39" s="15">
        <f t="shared" si="2"/>
        <v>208.72480000000002</v>
      </c>
      <c r="H39" s="15">
        <v>0</v>
      </c>
      <c r="I39" s="15">
        <f>'Wirtschaftlich 30 Jahre'!I38</f>
        <v>-40</v>
      </c>
      <c r="J39" s="40"/>
      <c r="K39" s="23">
        <f t="shared" si="3"/>
        <v>168.72480000000002</v>
      </c>
      <c r="L39" s="22">
        <f t="shared" si="8"/>
        <v>-3240.4288000000015</v>
      </c>
      <c r="M39" s="14">
        <f t="shared" si="4"/>
        <v>-40</v>
      </c>
      <c r="N39" s="27">
        <f t="shared" si="5"/>
        <v>-7.3000000000000001E-3</v>
      </c>
    </row>
    <row r="40" spans="1:14" s="13" customFormat="1" ht="12.95" customHeight="1">
      <c r="A40" s="13">
        <f t="shared" si="6"/>
        <v>29</v>
      </c>
      <c r="B40" s="13">
        <f>ROUND(B39*(1-'PV Anlage Eingabe'!$E$20),0)</f>
        <v>5472</v>
      </c>
      <c r="C40" s="13">
        <f t="shared" si="7"/>
        <v>1350</v>
      </c>
      <c r="D40" s="13">
        <f t="shared" si="0"/>
        <v>4122</v>
      </c>
      <c r="E40" s="15">
        <f>'Wirtschaftlich 30 Jahre'!E39</f>
        <v>196.20719999999997</v>
      </c>
      <c r="F40" s="15">
        <f>ROUND(F39*(1+'PV Anlage Eingabe'!$J$18),2)</f>
        <v>12.84</v>
      </c>
      <c r="G40" s="15">
        <f t="shared" si="2"/>
        <v>209.04719999999998</v>
      </c>
      <c r="H40" s="15">
        <v>0</v>
      </c>
      <c r="I40" s="15">
        <f>'Wirtschaftlich 30 Jahre'!I39</f>
        <v>-540</v>
      </c>
      <c r="J40" s="40" t="s">
        <v>52</v>
      </c>
      <c r="K40" s="23">
        <f t="shared" si="3"/>
        <v>-330.95280000000002</v>
      </c>
      <c r="L40" s="22">
        <f t="shared" si="8"/>
        <v>-3571.3816000000015</v>
      </c>
      <c r="M40" s="14">
        <f t="shared" si="4"/>
        <v>-540</v>
      </c>
      <c r="N40" s="27">
        <f t="shared" si="5"/>
        <v>-9.8699999999999996E-2</v>
      </c>
    </row>
    <row r="41" spans="1:14" s="13" customFormat="1" ht="12.95" customHeight="1">
      <c r="A41" s="13">
        <f t="shared" si="6"/>
        <v>30</v>
      </c>
      <c r="B41" s="13">
        <f>ROUND(B40*(1-'PV Anlage Eingabe'!$E$20),0)</f>
        <v>5471</v>
      </c>
      <c r="C41" s="13">
        <f t="shared" si="7"/>
        <v>1350</v>
      </c>
      <c r="D41" s="13">
        <f t="shared" si="0"/>
        <v>4121</v>
      </c>
      <c r="E41" s="15">
        <f>'Wirtschaftlich 30 Jahre'!E40</f>
        <v>196.15959999999998</v>
      </c>
      <c r="F41" s="15">
        <f>ROUND(F40*(1+'PV Anlage Eingabe'!$J$18),2)</f>
        <v>13.23</v>
      </c>
      <c r="G41" s="15">
        <f t="shared" si="2"/>
        <v>209.38959999999997</v>
      </c>
      <c r="H41" s="15">
        <v>0</v>
      </c>
      <c r="I41" s="15">
        <f>'Wirtschaftlich 30 Jahre'!I40</f>
        <v>-40</v>
      </c>
      <c r="J41" s="40"/>
      <c r="K41" s="23">
        <f t="shared" si="3"/>
        <v>169.38959999999997</v>
      </c>
      <c r="L41" s="51">
        <f t="shared" si="8"/>
        <v>-3401.9920000000016</v>
      </c>
      <c r="M41" s="14">
        <f t="shared" si="4"/>
        <v>-40</v>
      </c>
      <c r="N41" s="27">
        <f t="shared" si="5"/>
        <v>-7.3000000000000001E-3</v>
      </c>
    </row>
  </sheetData>
  <mergeCells count="1">
    <mergeCell ref="K2:L2"/>
  </mergeCells>
  <pageMargins left="0.31496062992125984" right="0.31496062992125984" top="0.59055118110236227" bottom="0.39370078740157483" header="0.31496062992125984" footer="0.31496062992125984"/>
  <pageSetup paperSize="9" orientation="landscape" r:id="rId1"/>
  <headerFooter>
    <oddFooter xml:space="preserve">&amp;R&amp;9Übersicht steuerlich 30 Jahre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2e3df722-f016-4108-a5e3-3520a54f466d</BSO999929>
</file>

<file path=customXml/itemProps1.xml><?xml version="1.0" encoding="utf-8"?>
<ds:datastoreItem xmlns:ds="http://schemas.openxmlformats.org/officeDocument/2006/customXml" ds:itemID="{49F46D1E-CD2F-45C9-9ABF-48837F22AB2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PV Anlage Eingabe</vt:lpstr>
      <vt:lpstr>Wirtschaftlich 30 Jahre</vt:lpstr>
      <vt:lpstr>Steuerlich 30 Jahre</vt:lpstr>
      <vt:lpstr>'PV Anlage Eingabe'!Druckbereich</vt:lpstr>
      <vt:lpstr>'Steuerlich 30 Jahre'!Druckbereich</vt:lpstr>
      <vt:lpstr>'Wirtschaftlich 30 Jahre'!Druckbereich</vt:lpstr>
      <vt:lpstr>'PV Anlage Eingabe'!Drucktitel</vt:lpstr>
      <vt:lpstr>'Steuerlich 30 Jahre'!Drucktitel</vt:lpstr>
      <vt:lpstr>'Wirtschaftlich 30 Jahre'!Drucktitel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Gayer, Jochen</dc:creator>
  <cp:lastModifiedBy>Sabine Mausolf</cp:lastModifiedBy>
  <cp:lastPrinted>2019-05-27T15:39:49Z</cp:lastPrinted>
  <dcterms:created xsi:type="dcterms:W3CDTF">2019-05-27T12:09:04Z</dcterms:created>
  <dcterms:modified xsi:type="dcterms:W3CDTF">2019-06-24T18:00:01Z</dcterms:modified>
</cp:coreProperties>
</file>